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65461" windowWidth="19320" windowHeight="11640" tabRatio="694" activeTab="0"/>
  </bookViews>
  <sheets>
    <sheet name="Problem 2-1" sheetId="1" r:id="rId1"/>
    <sheet name="Problem 2-2" sheetId="2" r:id="rId2"/>
    <sheet name="Problem 2-3" sheetId="3" r:id="rId3"/>
    <sheet name="Problem 2-4" sheetId="4" r:id="rId4"/>
    <sheet name="Problem 2-5" sheetId="5" r:id="rId5"/>
    <sheet name="Problem 2-6" sheetId="6" r:id="rId6"/>
    <sheet name="Problem 2-7" sheetId="7" r:id="rId7"/>
    <sheet name="Problem 2-8" sheetId="8" r:id="rId8"/>
    <sheet name="Problem 2-9" sheetId="9" r:id="rId9"/>
    <sheet name="Problem 2-10" sheetId="10" r:id="rId10"/>
  </sheets>
  <definedNames/>
  <calcPr fullCalcOnLoad="1"/>
</workbook>
</file>

<file path=xl/sharedStrings.xml><?xml version="1.0" encoding="utf-8"?>
<sst xmlns="http://schemas.openxmlformats.org/spreadsheetml/2006/main" count="379" uniqueCount="206">
  <si>
    <t>PROBLEM 2-8</t>
  </si>
  <si>
    <t>PROBLEM 2-9</t>
  </si>
  <si>
    <t>PROBLEM 2-10</t>
  </si>
  <si>
    <r>
      <t xml:space="preserve">a. </t>
    </r>
    <r>
      <rPr>
        <sz val="10"/>
        <rFont val="Arial"/>
        <family val="2"/>
      </rPr>
      <t>FCF Calculations for 2009-2010</t>
    </r>
  </si>
  <si>
    <t>Increase in Net Working Capital estimated as follows:
NWC 2010 - NWC 2009</t>
  </si>
  <si>
    <r>
      <t>b.</t>
    </r>
    <r>
      <rPr>
        <sz val="10"/>
        <rFont val="Arial"/>
        <family val="2"/>
      </rPr>
      <t xml:space="preserve"> Estimated FCF for 2011-2015</t>
    </r>
  </si>
  <si>
    <t>Note: The text incorrectly labeled the column headings for 2009 and 2010.  This solution has corrected the labels.</t>
  </si>
  <si>
    <t>Investment</t>
  </si>
  <si>
    <t>Plant life</t>
  </si>
  <si>
    <t>Variable Cost %</t>
  </si>
  <si>
    <t>Fixed operating cost</t>
  </si>
  <si>
    <t>Working capital</t>
  </si>
  <si>
    <t>Change in revenues</t>
  </si>
  <si>
    <t>Required Rate of Return</t>
  </si>
  <si>
    <t>Sales volume</t>
  </si>
  <si>
    <t>Unit Price</t>
  </si>
  <si>
    <t>Revenues</t>
  </si>
  <si>
    <t>Variable Operating Costs</t>
  </si>
  <si>
    <t>Fixed Operating Costs</t>
  </si>
  <si>
    <t>Net Operating Income</t>
  </si>
  <si>
    <t>Annual cost savings</t>
  </si>
  <si>
    <t>Machine life</t>
  </si>
  <si>
    <t>Salvage value (before tax)</t>
  </si>
  <si>
    <t>Discount rate</t>
  </si>
  <si>
    <t>Additional revenues (cost savings)</t>
  </si>
  <si>
    <t>Solution Legend</t>
  </si>
  <si>
    <t>= Value given in problem</t>
  </si>
  <si>
    <t>= Formula/Calculation/Analysis required</t>
  </si>
  <si>
    <t>= Qualitative analysis or Short answer required</t>
  </si>
  <si>
    <t>= Goal Seek or Solver cell</t>
  </si>
  <si>
    <t>= Crystal Ball Input</t>
  </si>
  <si>
    <t>= Crystal Ball Output</t>
  </si>
  <si>
    <r>
      <t xml:space="preserve">Note 1: </t>
    </r>
    <r>
      <rPr>
        <sz val="10"/>
        <rFont val="Arial"/>
        <family val="2"/>
      </rPr>
      <t xml:space="preserve"> At the end of year 5 the total investment in working capital is returned to the firm in an amount equal to its book value.</t>
    </r>
  </si>
  <si>
    <r>
      <t xml:space="preserve">Plus:  Salvage value of the fixed assets in year 5 (assumed to equal its book value) </t>
    </r>
    <r>
      <rPr>
        <b/>
        <sz val="10"/>
        <rFont val="Arial"/>
        <family val="2"/>
      </rPr>
      <t>(Note 2)</t>
    </r>
  </si>
  <si>
    <t>Straight Line</t>
  </si>
  <si>
    <t>Project Life</t>
  </si>
  <si>
    <t>Cost of Capital</t>
  </si>
  <si>
    <r>
      <t xml:space="preserve">Less:  New working capital needs </t>
    </r>
    <r>
      <rPr>
        <b/>
        <sz val="10"/>
        <rFont val="Arial"/>
        <family val="2"/>
      </rPr>
      <t>(Note 1)</t>
    </r>
  </si>
  <si>
    <t>Plus:  CAPEX</t>
  </si>
  <si>
    <t>Less:  Depreciation Expense for the Year</t>
  </si>
  <si>
    <t>Net Fixed Assets (end of the year)</t>
  </si>
  <si>
    <t>Net Fixed Assets (beginning of the year)</t>
  </si>
  <si>
    <t>Tax rate</t>
  </si>
  <si>
    <t>Taxes</t>
  </si>
  <si>
    <t>Discount Rate</t>
  </si>
  <si>
    <t>Revenues (current)</t>
  </si>
  <si>
    <t>Incremental revenue growth for years 1-5</t>
  </si>
  <si>
    <t xml:space="preserve">Incremental Revenues </t>
  </si>
  <si>
    <t>Incremental Revenues</t>
  </si>
  <si>
    <t>Incremental Depreciation</t>
  </si>
  <si>
    <t xml:space="preserve"> </t>
  </si>
  <si>
    <t>Project Free Cash Flow (PFCF)</t>
  </si>
  <si>
    <t>Hourly Rate</t>
  </si>
  <si>
    <t>Tax Rate</t>
  </si>
  <si>
    <t>Cash Flow</t>
  </si>
  <si>
    <t>Year (s)</t>
  </si>
  <si>
    <t>Present Value</t>
  </si>
  <si>
    <t>d.</t>
  </si>
  <si>
    <t>Initial investment</t>
  </si>
  <si>
    <t>Annual Cash Flows</t>
  </si>
  <si>
    <t>IRR =</t>
  </si>
  <si>
    <t>Discount rate</t>
  </si>
  <si>
    <t>Solution:</t>
  </si>
  <si>
    <t>PROBLEM 2-2</t>
  </si>
  <si>
    <t>PROBLEM 2-3</t>
  </si>
  <si>
    <t>PROBLEM 2.4</t>
  </si>
  <si>
    <t>PROBLEM 2-5</t>
  </si>
  <si>
    <t>PROBLEM 2-6</t>
  </si>
  <si>
    <t>PROBLEM 2-7</t>
  </si>
  <si>
    <t>Firm Free Cash Flow</t>
  </si>
  <si>
    <t>EBIT (Growing at 10% per year)</t>
  </si>
  <si>
    <t>years</t>
  </si>
  <si>
    <t>Net Present Value</t>
  </si>
  <si>
    <t>Internal Rate of Return</t>
  </si>
  <si>
    <t>Payback</t>
  </si>
  <si>
    <t>Machine cost</t>
  </si>
  <si>
    <t>Depreciation</t>
  </si>
  <si>
    <t>Net Income</t>
  </si>
  <si>
    <t>Growth rate for years 1-5</t>
  </si>
  <si>
    <t>CAPEX for years 1-5</t>
  </si>
  <si>
    <t>per year over and above annual depreciation expense</t>
  </si>
  <si>
    <t>Depreciation Expense</t>
  </si>
  <si>
    <t>Debt Retirements for years 1-5</t>
  </si>
  <si>
    <t>New working capital for years 1-5</t>
  </si>
  <si>
    <t>EBIT</t>
  </si>
  <si>
    <t>NOPAT</t>
  </si>
  <si>
    <t>Firm Free Cash Flow (FFCF)</t>
  </si>
  <si>
    <t>Less:  New working capital needs</t>
  </si>
  <si>
    <t>Analysis of Cash Flows</t>
  </si>
  <si>
    <t>Less:  Depreciation expense</t>
  </si>
  <si>
    <t>Less:  Capex</t>
  </si>
  <si>
    <t>Less:  Change in NWC</t>
  </si>
  <si>
    <t>Assessment of Project Value</t>
  </si>
  <si>
    <t>Project Free Cash Flow</t>
  </si>
  <si>
    <t>Straight line</t>
  </si>
  <si>
    <t xml:space="preserve">TCM's average tax rate </t>
  </si>
  <si>
    <t>Incremental maintenance expense</t>
  </si>
  <si>
    <t>Maintenance expense for years 1-5</t>
  </si>
  <si>
    <t xml:space="preserve">per year </t>
  </si>
  <si>
    <t>Depreciable life of ovens</t>
  </si>
  <si>
    <t>Incremnental EBIT</t>
  </si>
  <si>
    <t>Initial Investment in software</t>
  </si>
  <si>
    <t xml:space="preserve">Additional Investment per year for software upgrades </t>
  </si>
  <si>
    <t>Technician training cost</t>
  </si>
  <si>
    <t>% Reduction in hours of technician time for installation</t>
  </si>
  <si>
    <t>Total hours of installation per year</t>
  </si>
  <si>
    <t>Depreciable life</t>
  </si>
  <si>
    <t>Units recycled</t>
  </si>
  <si>
    <t>Revenue per unit</t>
  </si>
  <si>
    <t>Initial units for year 1</t>
  </si>
  <si>
    <t>Growth Rate per year in units recycled</t>
  </si>
  <si>
    <t>Investment (CAPEX in year 0)</t>
  </si>
  <si>
    <t>PROBLEM 2-1</t>
  </si>
  <si>
    <t xml:space="preserve">     Installation costs</t>
  </si>
  <si>
    <t xml:space="preserve">          Initial Outlay</t>
  </si>
  <si>
    <t>Free Cash Flow</t>
  </si>
  <si>
    <t xml:space="preserve">     After-tax salvage value</t>
  </si>
  <si>
    <t>NPV Profile</t>
  </si>
  <si>
    <t>Discount Rates</t>
  </si>
  <si>
    <t xml:space="preserve">     Equipment purchases</t>
  </si>
  <si>
    <t>TCM Petroleum</t>
  </si>
  <si>
    <t xml:space="preserve">  Depreciation, Depletion, &amp; Amortization</t>
  </si>
  <si>
    <t>EBIT(1-.40) = NOPAT</t>
  </si>
  <si>
    <t>Additional Operating Income</t>
  </si>
  <si>
    <t>CAPEX estimated as follows: 
CAPEX = NET PP&amp;E ending + Depreciation - NET PP&amp;E beginning</t>
  </si>
  <si>
    <r>
      <t>Note 2:</t>
    </r>
    <r>
      <rPr>
        <sz val="10"/>
        <rFont val="Arial"/>
        <family val="2"/>
      </rPr>
      <t xml:space="preserve">  We define the terminal value of the project's fixed assets as the net fixed asset balance at the end of year 5.</t>
    </r>
  </si>
  <si>
    <t>Additional EBIT</t>
  </si>
  <si>
    <t>NPV</t>
  </si>
  <si>
    <t>IRR</t>
  </si>
  <si>
    <t>CAPEX for year 0</t>
  </si>
  <si>
    <t>EBIT (1)</t>
  </si>
  <si>
    <t>Cost of Tester</t>
  </si>
  <si>
    <t>Installation and training costs</t>
  </si>
  <si>
    <t>CAPEX (Year 5)</t>
  </si>
  <si>
    <t>Salvage value</t>
  </si>
  <si>
    <r>
      <t xml:space="preserve">This is the solution to </t>
    </r>
    <r>
      <rPr>
        <b/>
        <sz val="10"/>
        <rFont val="Arial"/>
        <family val="2"/>
      </rPr>
      <t>part a</t>
    </r>
    <r>
      <rPr>
        <sz val="10"/>
        <rFont val="Arial"/>
        <family val="2"/>
      </rPr>
      <t xml:space="preserve">. of the problem. To solve for </t>
    </r>
    <r>
      <rPr>
        <b/>
        <sz val="10"/>
        <rFont val="Arial"/>
        <family val="2"/>
      </rPr>
      <t>part b.</t>
    </r>
    <r>
      <rPr>
        <sz val="10"/>
        <rFont val="Arial"/>
        <family val="2"/>
      </rPr>
      <t xml:space="preserve"> simply type in 55% in place of 45% for the variable cost %.</t>
    </r>
  </si>
  <si>
    <r>
      <t xml:space="preserve">The solution below corresponds to </t>
    </r>
    <r>
      <rPr>
        <b/>
        <sz val="10"/>
        <rFont val="Arial"/>
        <family val="2"/>
      </rPr>
      <t>parts a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. of the problem. To solve for part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. simply substitute $200,000 for the annual cost savings.</t>
    </r>
  </si>
  <si>
    <t>Less:  Taxes</t>
  </si>
  <si>
    <t>Plus:  DEP</t>
  </si>
  <si>
    <t>Less: CAPEX</t>
  </si>
  <si>
    <t>of new EBIT</t>
  </si>
  <si>
    <t>c.</t>
  </si>
  <si>
    <t>Plus:  Depreciation expense</t>
  </si>
  <si>
    <t>a.</t>
  </si>
  <si>
    <t>b.</t>
  </si>
  <si>
    <t>Less:  Working Capital</t>
  </si>
  <si>
    <t>Less:  Depreciation Expense</t>
  </si>
  <si>
    <t>Investment Outlays</t>
  </si>
  <si>
    <t>Free Cash Flows</t>
  </si>
  <si>
    <t>Operating Expense Savings</t>
  </si>
  <si>
    <t>Year</t>
  </si>
  <si>
    <t>Rev</t>
  </si>
  <si>
    <t>Project Free Cash Flows (PFCF)</t>
  </si>
  <si>
    <t>Payback Period</t>
  </si>
  <si>
    <t>Project Free Cash Flows</t>
  </si>
  <si>
    <t>Upgrade Expense</t>
  </si>
  <si>
    <t>Required Return</t>
  </si>
  <si>
    <t>Sales</t>
  </si>
  <si>
    <t xml:space="preserve">  Cost of Goods Sold</t>
  </si>
  <si>
    <t>Gross Profit</t>
  </si>
  <si>
    <t>Operating Income Before Deprec.</t>
  </si>
  <si>
    <t>Operating Profit</t>
  </si>
  <si>
    <t xml:space="preserve">   Interest Expense</t>
  </si>
  <si>
    <t>Plus:  Depreciation</t>
  </si>
  <si>
    <t>Given</t>
  </si>
  <si>
    <t>Solution</t>
  </si>
  <si>
    <t xml:space="preserve">   Non-Operating Income/Expense</t>
  </si>
  <si>
    <t xml:space="preserve">   Special Items</t>
  </si>
  <si>
    <t>Pretax Income</t>
  </si>
  <si>
    <t xml:space="preserve">  Total Income Taxes</t>
  </si>
  <si>
    <t>per year</t>
  </si>
  <si>
    <t xml:space="preserve">  Selling, General, &amp; Administrative Expense</t>
  </si>
  <si>
    <t>Purchase of PP&amp;E (CAPEX)</t>
  </si>
  <si>
    <t>Increase in Net Working Capital</t>
  </si>
  <si>
    <t xml:space="preserve">EBIT </t>
  </si>
  <si>
    <t>EBIT(1-T) = NOPAT</t>
  </si>
  <si>
    <t>Plus:  Depreciation Expense</t>
  </si>
  <si>
    <t>Less:  CAPEX</t>
  </si>
  <si>
    <t>Less:  Working Capital Investment</t>
  </si>
  <si>
    <t>Solution:  Part a</t>
  </si>
  <si>
    <t>Solution:  Part b</t>
  </si>
  <si>
    <t>Solution:  Part c</t>
  </si>
  <si>
    <t>Solution:  Part d</t>
  </si>
  <si>
    <t>The investment still looks like a good one with a positive NPV and an IRR that exceeds the required return.</t>
  </si>
  <si>
    <t xml:space="preserve">Disposal cost </t>
  </si>
  <si>
    <t>Yes, even including the $0.20 per unit in disposal costs the project appears to be worthwhile.</t>
  </si>
  <si>
    <t>Disposal cost per unit</t>
  </si>
  <si>
    <r>
      <t>a.</t>
    </r>
    <r>
      <rPr>
        <sz val="10"/>
        <rFont val="Arial"/>
        <family val="2"/>
      </rPr>
      <t xml:space="preserve">  The project appears to create value in the amount of its NPV = $419,435 and should be accepted.</t>
    </r>
  </si>
  <si>
    <r>
      <t>b.</t>
    </r>
    <r>
      <rPr>
        <sz val="10"/>
        <rFont val="Arial"/>
        <family val="2"/>
      </rPr>
      <t xml:space="preserve">   Increasing the variable costs to 55% changes the investment outcome dramatically.  The NPV is now negative at ($599,080). </t>
    </r>
  </si>
  <si>
    <t>Exhibit P2-9.1</t>
  </si>
  <si>
    <t>Exhibit P2-8.1</t>
  </si>
  <si>
    <t>suggesting that the project is expected to create value for the firm.</t>
  </si>
  <si>
    <r>
      <t xml:space="preserve">a.  </t>
    </r>
    <r>
      <rPr>
        <sz val="10"/>
        <rFont val="Arial"/>
        <family val="2"/>
      </rPr>
      <t xml:space="preserve">Yes, the project is a good one for Gentech.  The project's NPV is positive and the IRR is greater than the project's required rate of return </t>
    </r>
  </si>
  <si>
    <r>
      <t>b.</t>
    </r>
    <r>
      <rPr>
        <sz val="10"/>
        <rFont val="Arial"/>
        <family val="2"/>
      </rPr>
      <t xml:space="preserve">  The NPV profile describes the relationship between the computed NPV and the discount rate.  As we see in the figure above, the NPV profile is </t>
    </r>
  </si>
  <si>
    <t xml:space="preserve">positive for all discount rates above the IRR of 13.61% and is negative for all higher discount rates.  Consequently, over the range of discount rates </t>
  </si>
  <si>
    <t xml:space="preserve">analyzed there is but one value for the IRR.   There was the prospect that there might be multiple values that satisfy the IRR since project cash flows </t>
  </si>
  <si>
    <t>change sign more than one time.  In fact, the change from negative to positive in year 1, positive to negative in year 5, and negative to positive in year 6.</t>
  </si>
  <si>
    <t xml:space="preserve">project's required rate of return as we will discuss later in Chapter 4.  In other words, the calculation of the NPV calculated in the traditional manner as </t>
  </si>
  <si>
    <t>we have done it here, captures the effect of financing decisions in the required rate of return calculation (not the FCFs).</t>
  </si>
  <si>
    <r>
      <t xml:space="preserve">c. </t>
    </r>
    <r>
      <rPr>
        <sz val="10"/>
        <rFont val="Arial"/>
        <family val="2"/>
      </rPr>
      <t xml:space="preserve">  The interest and principal costs associated with debt financing do not affect the project's FCF.  However, the use of debt financing does affec the </t>
    </r>
  </si>
  <si>
    <r>
      <t>d.</t>
    </r>
    <r>
      <rPr>
        <sz val="10"/>
        <rFont val="Arial"/>
        <family val="2"/>
      </rPr>
      <t xml:space="preserve">   As we saw in the above calculation of FCF, there are multiple CAPEX estimates with one in year 0 and another in year 5.  These cash expenditures </t>
    </r>
  </si>
  <si>
    <t>change the project FCFs for the years in which they are made.</t>
  </si>
  <si>
    <t xml:space="preserve">this case they relate to savings in operating costs that may or may not equal the projected amounts.  Second, there are the cost of acquiring and putting </t>
  </si>
  <si>
    <t xml:space="preserve">into place the needed equipment.  The analysis of these risks is discussed at length in Chapter 3 and focuses on considering the possibility that our </t>
  </si>
  <si>
    <t>estimates may not prove accurate.  We will use various types of sensitivity analysis to address the risk issue.</t>
  </si>
  <si>
    <r>
      <t>e.</t>
    </r>
    <r>
      <rPr>
        <sz val="10"/>
        <rFont val="Arial"/>
        <family val="2"/>
      </rPr>
      <t xml:space="preserve">  There are two basic sources of risk to any investment and they are relevant here.  The first relates to the potential revenues from the investment.  In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</si>
</sst>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39">
    <font>
      <sz val="10"/>
      <name val="Geneva"/>
      <family val="0"/>
    </font>
    <font>
      <sz val="11"/>
      <color indexed="63"/>
      <name val="Calibri"/>
      <family val="2"/>
    </font>
    <font>
      <b/>
      <sz val="10"/>
      <name val="Genev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sz val="8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Geneva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Geneva"/>
      <family val="0"/>
    </font>
    <font>
      <sz val="12"/>
      <color indexed="9"/>
      <name val="Geneva"/>
      <family val="0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Geneva"/>
      <family val="0"/>
    </font>
    <font>
      <sz val="10"/>
      <color indexed="9"/>
      <name val="Arial"/>
      <family val="2"/>
    </font>
    <font>
      <b/>
      <sz val="11"/>
      <color indexed="9"/>
      <name val="Geneva"/>
      <family val="0"/>
    </font>
    <font>
      <b/>
      <u val="double"/>
      <sz val="10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.5"/>
      <color indexed="63"/>
      <name val="Arial"/>
      <family val="0"/>
    </font>
    <font>
      <sz val="11"/>
      <color indexed="63"/>
      <name val="Arial"/>
      <family val="0"/>
    </font>
    <font>
      <b/>
      <sz val="12"/>
      <color indexed="63"/>
      <name val="Arial"/>
      <family val="0"/>
    </font>
    <font>
      <b/>
      <sz val="19.75"/>
      <color indexed="63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/>
      <top style="thin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24"/>
      </left>
      <right/>
      <top style="medium">
        <color indexed="24"/>
      </top>
      <bottom style="medium">
        <color indexed="24"/>
      </bottom>
    </border>
    <border>
      <left/>
      <right/>
      <top style="medium">
        <color indexed="24"/>
      </top>
      <bottom style="medium">
        <color indexed="24"/>
      </bottom>
    </border>
    <border>
      <left/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5" fillId="13" borderId="0" applyNumberFormat="0" applyBorder="0" applyAlignment="0" applyProtection="0"/>
    <xf numFmtId="0" fontId="29" fillId="2" borderId="1" applyNumberFormat="0" applyAlignment="0" applyProtection="0"/>
    <xf numFmtId="0" fontId="3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5" borderId="1" applyNumberFormat="0" applyAlignment="0" applyProtection="0"/>
    <xf numFmtId="0" fontId="30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42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1" fontId="7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11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2" fontId="7" fillId="0" borderId="0" xfId="0" applyNumberFormat="1" applyFont="1" applyBorder="1" applyAlignment="1">
      <alignment/>
    </xf>
    <xf numFmtId="42" fontId="7" fillId="0" borderId="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42" applyNumberFormat="1" applyFont="1" applyBorder="1" applyAlignment="1">
      <alignment/>
    </xf>
    <xf numFmtId="41" fontId="7" fillId="0" borderId="11" xfId="42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wrapText="1" indent="1"/>
    </xf>
    <xf numFmtId="17" fontId="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9" fontId="7" fillId="0" borderId="0" xfId="57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7" fontId="7" fillId="0" borderId="13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7" fillId="0" borderId="0" xfId="0" applyNumberFormat="1" applyFont="1" applyAlignment="1">
      <alignment/>
    </xf>
    <xf numFmtId="37" fontId="6" fillId="0" borderId="12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7" fontId="6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9" fontId="7" fillId="0" borderId="0" xfId="57" applyFont="1" applyAlignment="1">
      <alignment/>
    </xf>
    <xf numFmtId="0" fontId="6" fillId="0" borderId="10" xfId="0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9" fontId="7" fillId="0" borderId="10" xfId="57" applyFont="1" applyBorder="1" applyAlignment="1">
      <alignment/>
    </xf>
    <xf numFmtId="9" fontId="7" fillId="0" borderId="14" xfId="57" applyFont="1" applyBorder="1" applyAlignment="1">
      <alignment/>
    </xf>
    <xf numFmtId="42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8" fontId="6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indent="2"/>
    </xf>
    <xf numFmtId="164" fontId="7" fillId="0" borderId="11" xfId="42" applyNumberFormat="1" applyFont="1" applyFill="1" applyBorder="1" applyAlignment="1">
      <alignment/>
    </xf>
    <xf numFmtId="9" fontId="7" fillId="3" borderId="0" xfId="57" applyNumberFormat="1" applyFont="1" applyFill="1" applyBorder="1" applyAlignment="1">
      <alignment vertical="top" wrapText="1"/>
    </xf>
    <xf numFmtId="166" fontId="7" fillId="3" borderId="0" xfId="44" applyNumberFormat="1" applyFont="1" applyFill="1" applyBorder="1" applyAlignment="1">
      <alignment vertical="top" wrapText="1"/>
    </xf>
    <xf numFmtId="164" fontId="7" fillId="3" borderId="0" xfId="42" applyNumberFormat="1" applyFont="1" applyFill="1" applyBorder="1" applyAlignment="1">
      <alignment vertical="top" wrapText="1"/>
    </xf>
    <xf numFmtId="9" fontId="7" fillId="3" borderId="12" xfId="57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top" wrapText="1" inden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164" fontId="7" fillId="0" borderId="11" xfId="0" applyNumberFormat="1" applyFont="1" applyBorder="1" applyAlignment="1">
      <alignment vertical="top" wrapText="1"/>
    </xf>
    <xf numFmtId="0" fontId="6" fillId="0" borderId="14" xfId="0" applyFont="1" applyFill="1" applyBorder="1" applyAlignment="1">
      <alignment horizontal="left" indent="1"/>
    </xf>
    <xf numFmtId="9" fontId="7" fillId="3" borderId="0" xfId="57" applyNumberFormat="1" applyFont="1" applyFill="1" applyBorder="1" applyAlignment="1">
      <alignment/>
    </xf>
    <xf numFmtId="166" fontId="7" fillId="3" borderId="0" xfId="44" applyNumberFormat="1" applyFont="1" applyFill="1" applyBorder="1" applyAlignment="1">
      <alignment/>
    </xf>
    <xf numFmtId="164" fontId="7" fillId="3" borderId="0" xfId="42" applyNumberFormat="1" applyFont="1" applyFill="1" applyBorder="1" applyAlignment="1">
      <alignment/>
    </xf>
    <xf numFmtId="43" fontId="7" fillId="3" borderId="0" xfId="42" applyNumberFormat="1" applyFont="1" applyFill="1" applyBorder="1" applyAlignment="1">
      <alignment/>
    </xf>
    <xf numFmtId="43" fontId="7" fillId="3" borderId="11" xfId="42" applyNumberFormat="1" applyFont="1" applyFill="1" applyBorder="1" applyAlignment="1">
      <alignment/>
    </xf>
    <xf numFmtId="43" fontId="7" fillId="3" borderId="12" xfId="42" applyNumberFormat="1" applyFont="1" applyFill="1" applyBorder="1" applyAlignment="1">
      <alignment/>
    </xf>
    <xf numFmtId="43" fontId="7" fillId="3" borderId="13" xfId="42" applyNumberFormat="1" applyFont="1" applyFill="1" applyBorder="1" applyAlignment="1">
      <alignment/>
    </xf>
    <xf numFmtId="41" fontId="7" fillId="3" borderId="0" xfId="42" applyNumberFormat="1" applyFont="1" applyFill="1" applyBorder="1" applyAlignment="1">
      <alignment/>
    </xf>
    <xf numFmtId="41" fontId="7" fillId="3" borderId="11" xfId="42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9" fontId="7" fillId="3" borderId="12" xfId="57" applyNumberFormat="1" applyFont="1" applyFill="1" applyBorder="1" applyAlignment="1">
      <alignment/>
    </xf>
    <xf numFmtId="9" fontId="7" fillId="3" borderId="13" xfId="57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/>
    </xf>
    <xf numFmtId="44" fontId="6" fillId="0" borderId="10" xfId="44" applyFont="1" applyFill="1" applyBorder="1" applyAlignment="1">
      <alignment horizontal="left" indent="1"/>
    </xf>
    <xf numFmtId="167" fontId="7" fillId="0" borderId="0" xfId="0" applyNumberFormat="1" applyFont="1" applyFill="1" applyBorder="1" applyAlignment="1">
      <alignment/>
    </xf>
    <xf numFmtId="165" fontId="7" fillId="3" borderId="0" xfId="57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2" fontId="7" fillId="3" borderId="11" xfId="0" applyNumberFormat="1" applyFont="1" applyFill="1" applyBorder="1" applyAlignment="1">
      <alignment vertical="top" wrapText="1"/>
    </xf>
    <xf numFmtId="41" fontId="7" fillId="3" borderId="11" xfId="0" applyNumberFormat="1" applyFont="1" applyFill="1" applyBorder="1" applyAlignment="1">
      <alignment vertical="top" wrapText="1"/>
    </xf>
    <xf numFmtId="9" fontId="7" fillId="3" borderId="11" xfId="0" applyNumberFormat="1" applyFont="1" applyFill="1" applyBorder="1" applyAlignment="1">
      <alignment vertical="top" wrapText="1"/>
    </xf>
    <xf numFmtId="9" fontId="7" fillId="3" borderId="11" xfId="57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1" fontId="7" fillId="3" borderId="13" xfId="42" applyNumberFormat="1" applyFont="1" applyFill="1" applyBorder="1" applyAlignment="1">
      <alignment vertical="top" wrapText="1"/>
    </xf>
    <xf numFmtId="37" fontId="7" fillId="3" borderId="0" xfId="0" applyNumberFormat="1" applyFont="1" applyFill="1" applyBorder="1" applyAlignment="1">
      <alignment vertical="center"/>
    </xf>
    <xf numFmtId="39" fontId="7" fillId="3" borderId="0" xfId="0" applyNumberFormat="1" applyFont="1" applyFill="1" applyBorder="1" applyAlignment="1">
      <alignment vertical="center"/>
    </xf>
    <xf numFmtId="9" fontId="7" fillId="3" borderId="0" xfId="0" applyNumberFormat="1" applyFont="1" applyFill="1" applyBorder="1" applyAlignment="1">
      <alignment vertical="center"/>
    </xf>
    <xf numFmtId="9" fontId="7" fillId="3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9" fontId="7" fillId="3" borderId="0" xfId="57" applyFont="1" applyFill="1" applyBorder="1" applyAlignment="1">
      <alignment/>
    </xf>
    <xf numFmtId="9" fontId="7" fillId="3" borderId="12" xfId="57" applyFont="1" applyFill="1" applyBorder="1" applyAlignment="1">
      <alignment/>
    </xf>
    <xf numFmtId="0" fontId="6" fillId="0" borderId="10" xfId="0" applyFont="1" applyFill="1" applyBorder="1" applyAlignment="1">
      <alignment horizontal="left" indent="2"/>
    </xf>
    <xf numFmtId="42" fontId="7" fillId="3" borderId="0" xfId="42" applyNumberFormat="1" applyFont="1" applyFill="1" applyBorder="1" applyAlignment="1">
      <alignment/>
    </xf>
    <xf numFmtId="166" fontId="7" fillId="3" borderId="11" xfId="44" applyNumberFormat="1" applyFont="1" applyFill="1" applyBorder="1" applyAlignment="1">
      <alignment/>
    </xf>
    <xf numFmtId="164" fontId="7" fillId="3" borderId="11" xfId="42" applyNumberFormat="1" applyFont="1" applyFill="1" applyBorder="1" applyAlignment="1">
      <alignment/>
    </xf>
    <xf numFmtId="9" fontId="7" fillId="3" borderId="11" xfId="57" applyFont="1" applyFill="1" applyBorder="1" applyAlignment="1">
      <alignment/>
    </xf>
    <xf numFmtId="9" fontId="7" fillId="3" borderId="13" xfId="57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42" fontId="7" fillId="3" borderId="0" xfId="42" applyNumberFormat="1" applyFont="1" applyFill="1" applyBorder="1" applyAlignment="1">
      <alignment vertical="top" wrapText="1"/>
    </xf>
    <xf numFmtId="44" fontId="7" fillId="3" borderId="0" xfId="42" applyNumberFormat="1" applyFont="1" applyFill="1" applyBorder="1" applyAlignment="1">
      <alignment/>
    </xf>
    <xf numFmtId="44" fontId="7" fillId="3" borderId="11" xfId="42" applyNumberFormat="1" applyFont="1" applyFill="1" applyBorder="1" applyAlignment="1">
      <alignment/>
    </xf>
    <xf numFmtId="42" fontId="7" fillId="3" borderId="0" xfId="44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 vertical="center"/>
    </xf>
    <xf numFmtId="42" fontId="7" fillId="17" borderId="0" xfId="44" applyNumberFormat="1" applyFont="1" applyFill="1" applyBorder="1" applyAlignment="1">
      <alignment horizontal="center"/>
    </xf>
    <xf numFmtId="41" fontId="7" fillId="17" borderId="0" xfId="42" applyNumberFormat="1" applyFont="1" applyFill="1" applyBorder="1" applyAlignment="1">
      <alignment/>
    </xf>
    <xf numFmtId="42" fontId="6" fillId="17" borderId="15" xfId="44" applyNumberFormat="1" applyFont="1" applyFill="1" applyBorder="1" applyAlignment="1">
      <alignment/>
    </xf>
    <xf numFmtId="42" fontId="7" fillId="17" borderId="0" xfId="44" applyNumberFormat="1" applyFont="1" applyFill="1" applyBorder="1" applyAlignment="1">
      <alignment/>
    </xf>
    <xf numFmtId="42" fontId="7" fillId="17" borderId="11" xfId="44" applyNumberFormat="1" applyFont="1" applyFill="1" applyBorder="1" applyAlignment="1">
      <alignment horizontal="center"/>
    </xf>
    <xf numFmtId="41" fontId="7" fillId="17" borderId="11" xfId="42" applyNumberFormat="1" applyFont="1" applyFill="1" applyBorder="1" applyAlignment="1">
      <alignment/>
    </xf>
    <xf numFmtId="42" fontId="7" fillId="17" borderId="0" xfId="42" applyNumberFormat="1" applyFont="1" applyFill="1" applyBorder="1" applyAlignment="1">
      <alignment vertical="top" wrapText="1"/>
    </xf>
    <xf numFmtId="42" fontId="7" fillId="17" borderId="11" xfId="42" applyNumberFormat="1" applyFont="1" applyFill="1" applyBorder="1" applyAlignment="1">
      <alignment vertical="top" wrapText="1"/>
    </xf>
    <xf numFmtId="41" fontId="7" fillId="17" borderId="12" xfId="42" applyNumberFormat="1" applyFont="1" applyFill="1" applyBorder="1" applyAlignment="1">
      <alignment vertical="top" wrapText="1"/>
    </xf>
    <xf numFmtId="41" fontId="7" fillId="17" borderId="13" xfId="42" applyNumberFormat="1" applyFont="1" applyFill="1" applyBorder="1" applyAlignment="1">
      <alignment vertical="top" wrapText="1"/>
    </xf>
    <xf numFmtId="41" fontId="7" fillId="17" borderId="0" xfId="42" applyNumberFormat="1" applyFont="1" applyFill="1" applyBorder="1" applyAlignment="1">
      <alignment vertical="top" wrapText="1"/>
    </xf>
    <xf numFmtId="41" fontId="7" fillId="17" borderId="11" xfId="42" applyNumberFormat="1" applyFont="1" applyFill="1" applyBorder="1" applyAlignment="1">
      <alignment vertical="top" wrapText="1"/>
    </xf>
    <xf numFmtId="41" fontId="7" fillId="17" borderId="0" xfId="44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2" fontId="7" fillId="3" borderId="0" xfId="0" applyNumberFormat="1" applyFont="1" applyFill="1" applyBorder="1" applyAlignment="1">
      <alignment vertical="top" wrapText="1"/>
    </xf>
    <xf numFmtId="42" fontId="7" fillId="17" borderId="0" xfId="0" applyNumberFormat="1" applyFont="1" applyFill="1" applyBorder="1" applyAlignment="1">
      <alignment vertical="top" wrapText="1"/>
    </xf>
    <xf numFmtId="42" fontId="7" fillId="17" borderId="11" xfId="0" applyNumberFormat="1" applyFont="1" applyFill="1" applyBorder="1" applyAlignment="1">
      <alignment vertical="top" wrapText="1"/>
    </xf>
    <xf numFmtId="164" fontId="7" fillId="17" borderId="0" xfId="42" applyNumberFormat="1" applyFont="1" applyFill="1" applyBorder="1" applyAlignment="1">
      <alignment vertical="top" wrapText="1"/>
    </xf>
    <xf numFmtId="164" fontId="7" fillId="17" borderId="11" xfId="42" applyNumberFormat="1" applyFont="1" applyFill="1" applyBorder="1" applyAlignment="1">
      <alignment vertical="top" wrapText="1"/>
    </xf>
    <xf numFmtId="166" fontId="6" fillId="17" borderId="15" xfId="0" applyNumberFormat="1" applyFont="1" applyFill="1" applyBorder="1" applyAlignment="1">
      <alignment vertical="top" wrapText="1"/>
    </xf>
    <xf numFmtId="166" fontId="6" fillId="17" borderId="16" xfId="0" applyNumberFormat="1" applyFont="1" applyFill="1" applyBorder="1" applyAlignment="1">
      <alignment vertical="top" wrapText="1"/>
    </xf>
    <xf numFmtId="42" fontId="7" fillId="17" borderId="0" xfId="42" applyNumberFormat="1" applyFont="1" applyFill="1" applyBorder="1" applyAlignment="1">
      <alignment/>
    </xf>
    <xf numFmtId="42" fontId="7" fillId="17" borderId="11" xfId="42" applyNumberFormat="1" applyFont="1" applyFill="1" applyBorder="1" applyAlignment="1">
      <alignment/>
    </xf>
    <xf numFmtId="42" fontId="6" fillId="17" borderId="16" xfId="44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 horizontal="center"/>
    </xf>
    <xf numFmtId="42" fontId="7" fillId="3" borderId="11" xfId="0" applyNumberFormat="1" applyFont="1" applyFill="1" applyBorder="1" applyAlignment="1">
      <alignment horizontal="center"/>
    </xf>
    <xf numFmtId="41" fontId="7" fillId="3" borderId="0" xfId="44" applyNumberFormat="1" applyFont="1" applyFill="1" applyBorder="1" applyAlignment="1">
      <alignment/>
    </xf>
    <xf numFmtId="41" fontId="7" fillId="17" borderId="0" xfId="0" applyNumberFormat="1" applyFont="1" applyFill="1" applyBorder="1" applyAlignment="1">
      <alignment horizontal="center"/>
    </xf>
    <xf numFmtId="41" fontId="7" fillId="17" borderId="11" xfId="0" applyNumberFormat="1" applyFont="1" applyFill="1" applyBorder="1" applyAlignment="1">
      <alignment horizontal="center"/>
    </xf>
    <xf numFmtId="41" fontId="7" fillId="17" borderId="12" xfId="0" applyNumberFormat="1" applyFont="1" applyFill="1" applyBorder="1" applyAlignment="1">
      <alignment horizontal="center"/>
    </xf>
    <xf numFmtId="41" fontId="7" fillId="17" borderId="13" xfId="0" applyNumberFormat="1" applyFont="1" applyFill="1" applyBorder="1" applyAlignment="1">
      <alignment horizontal="center"/>
    </xf>
    <xf numFmtId="41" fontId="7" fillId="17" borderId="12" xfId="42" applyNumberFormat="1" applyFont="1" applyFill="1" applyBorder="1" applyAlignment="1">
      <alignment/>
    </xf>
    <xf numFmtId="41" fontId="7" fillId="17" borderId="13" xfId="42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top" wrapText="1"/>
    </xf>
    <xf numFmtId="41" fontId="7" fillId="0" borderId="0" xfId="42" applyNumberFormat="1" applyFont="1" applyFill="1" applyBorder="1" applyAlignment="1">
      <alignment vertical="top" wrapText="1"/>
    </xf>
    <xf numFmtId="9" fontId="7" fillId="17" borderId="12" xfId="0" applyNumberFormat="1" applyFont="1" applyFill="1" applyBorder="1" applyAlignment="1">
      <alignment/>
    </xf>
    <xf numFmtId="42" fontId="7" fillId="17" borderId="11" xfId="44" applyNumberFormat="1" applyFont="1" applyFill="1" applyBorder="1" applyAlignment="1">
      <alignment/>
    </xf>
    <xf numFmtId="41" fontId="7" fillId="3" borderId="12" xfId="0" applyNumberFormat="1" applyFont="1" applyFill="1" applyBorder="1" applyAlignment="1">
      <alignment/>
    </xf>
    <xf numFmtId="41" fontId="7" fillId="3" borderId="13" xfId="0" applyNumberFormat="1" applyFont="1" applyFill="1" applyBorder="1" applyAlignment="1">
      <alignment/>
    </xf>
    <xf numFmtId="41" fontId="7" fillId="3" borderId="0" xfId="0" applyNumberFormat="1" applyFont="1" applyFill="1" applyBorder="1" applyAlignment="1">
      <alignment/>
    </xf>
    <xf numFmtId="42" fontId="7" fillId="17" borderId="0" xfId="0" applyNumberFormat="1" applyFont="1" applyFill="1" applyBorder="1" applyAlignment="1">
      <alignment/>
    </xf>
    <xf numFmtId="42" fontId="7" fillId="17" borderId="11" xfId="0" applyNumberFormat="1" applyFont="1" applyFill="1" applyBorder="1" applyAlignment="1">
      <alignment/>
    </xf>
    <xf numFmtId="41" fontId="7" fillId="17" borderId="12" xfId="0" applyNumberFormat="1" applyFont="1" applyFill="1" applyBorder="1" applyAlignment="1">
      <alignment/>
    </xf>
    <xf numFmtId="41" fontId="7" fillId="17" borderId="13" xfId="0" applyNumberFormat="1" applyFont="1" applyFill="1" applyBorder="1" applyAlignment="1">
      <alignment/>
    </xf>
    <xf numFmtId="42" fontId="6" fillId="17" borderId="15" xfId="0" applyNumberFormat="1" applyFont="1" applyFill="1" applyBorder="1" applyAlignment="1">
      <alignment/>
    </xf>
    <xf numFmtId="42" fontId="6" fillId="17" borderId="16" xfId="0" applyNumberFormat="1" applyFont="1" applyFill="1" applyBorder="1" applyAlignment="1">
      <alignment/>
    </xf>
    <xf numFmtId="41" fontId="7" fillId="17" borderId="0" xfId="0" applyNumberFormat="1" applyFont="1" applyFill="1" applyBorder="1" applyAlignment="1">
      <alignment vertical="center"/>
    </xf>
    <xf numFmtId="41" fontId="7" fillId="17" borderId="11" xfId="0" applyNumberFormat="1" applyFont="1" applyFill="1" applyBorder="1" applyAlignment="1">
      <alignment vertical="center"/>
    </xf>
    <xf numFmtId="42" fontId="7" fillId="17" borderId="0" xfId="0" applyNumberFormat="1" applyFont="1" applyFill="1" applyBorder="1" applyAlignment="1">
      <alignment vertical="center"/>
    </xf>
    <xf numFmtId="42" fontId="7" fillId="17" borderId="11" xfId="0" applyNumberFormat="1" applyFont="1" applyFill="1" applyBorder="1" applyAlignment="1">
      <alignment vertical="center"/>
    </xf>
    <xf numFmtId="41" fontId="7" fillId="17" borderId="12" xfId="0" applyNumberFormat="1" applyFont="1" applyFill="1" applyBorder="1" applyAlignment="1">
      <alignment vertical="center"/>
    </xf>
    <xf numFmtId="41" fontId="7" fillId="17" borderId="13" xfId="0" applyNumberFormat="1" applyFont="1" applyFill="1" applyBorder="1" applyAlignment="1">
      <alignment vertical="center"/>
    </xf>
    <xf numFmtId="43" fontId="7" fillId="3" borderId="0" xfId="42" applyFont="1" applyFill="1" applyBorder="1" applyAlignment="1">
      <alignment vertical="center"/>
    </xf>
    <xf numFmtId="43" fontId="7" fillId="3" borderId="11" xfId="42" applyFont="1" applyFill="1" applyBorder="1" applyAlignment="1">
      <alignment vertical="center"/>
    </xf>
    <xf numFmtId="42" fontId="6" fillId="17" borderId="15" xfId="0" applyNumberFormat="1" applyFont="1" applyFill="1" applyBorder="1" applyAlignment="1">
      <alignment vertical="center"/>
    </xf>
    <xf numFmtId="42" fontId="6" fillId="17" borderId="16" xfId="0" applyNumberFormat="1" applyFont="1" applyFill="1" applyBorder="1" applyAlignment="1">
      <alignment vertical="center"/>
    </xf>
    <xf numFmtId="37" fontId="7" fillId="17" borderId="0" xfId="0" applyNumberFormat="1" applyFont="1" applyFill="1" applyBorder="1" applyAlignment="1">
      <alignment vertical="center"/>
    </xf>
    <xf numFmtId="9" fontId="7" fillId="17" borderId="0" xfId="0" applyNumberFormat="1" applyFont="1" applyFill="1" applyBorder="1" applyAlignment="1">
      <alignment vertical="center"/>
    </xf>
    <xf numFmtId="41" fontId="7" fillId="3" borderId="0" xfId="0" applyNumberFormat="1" applyFont="1" applyFill="1" applyBorder="1" applyAlignment="1">
      <alignment vertical="center"/>
    </xf>
    <xf numFmtId="41" fontId="7" fillId="3" borderId="0" xfId="42" applyNumberFormat="1" applyFont="1" applyFill="1" applyBorder="1" applyAlignment="1">
      <alignment vertical="center"/>
    </xf>
    <xf numFmtId="41" fontId="7" fillId="3" borderId="11" xfId="42" applyNumberFormat="1" applyFont="1" applyFill="1" applyBorder="1" applyAlignment="1">
      <alignment vertical="center"/>
    </xf>
    <xf numFmtId="42" fontId="6" fillId="3" borderId="15" xfId="0" applyNumberFormat="1" applyFont="1" applyFill="1" applyBorder="1" applyAlignment="1">
      <alignment vertical="center"/>
    </xf>
    <xf numFmtId="9" fontId="7" fillId="17" borderId="12" xfId="0" applyNumberFormat="1" applyFont="1" applyFill="1" applyBorder="1" applyAlignment="1">
      <alignment vertical="center"/>
    </xf>
    <xf numFmtId="164" fontId="7" fillId="17" borderId="11" xfId="42" applyNumberFormat="1" applyFont="1" applyFill="1" applyBorder="1" applyAlignment="1">
      <alignment/>
    </xf>
    <xf numFmtId="164" fontId="7" fillId="17" borderId="12" xfId="42" applyNumberFormat="1" applyFont="1" applyFill="1" applyBorder="1" applyAlignment="1">
      <alignment/>
    </xf>
    <xf numFmtId="164" fontId="7" fillId="17" borderId="13" xfId="42" applyNumberFormat="1" applyFont="1" applyFill="1" applyBorder="1" applyAlignment="1">
      <alignment/>
    </xf>
    <xf numFmtId="164" fontId="7" fillId="17" borderId="0" xfId="42" applyNumberFormat="1" applyFont="1" applyFill="1" applyBorder="1" applyAlignment="1">
      <alignment/>
    </xf>
    <xf numFmtId="42" fontId="6" fillId="17" borderId="15" xfId="42" applyNumberFormat="1" applyFont="1" applyFill="1" applyBorder="1" applyAlignment="1">
      <alignment/>
    </xf>
    <xf numFmtId="42" fontId="6" fillId="17" borderId="16" xfId="42" applyNumberFormat="1" applyFont="1" applyFill="1" applyBorder="1" applyAlignment="1">
      <alignment/>
    </xf>
    <xf numFmtId="164" fontId="7" fillId="17" borderId="11" xfId="0" applyNumberFormat="1" applyFont="1" applyFill="1" applyBorder="1" applyAlignment="1">
      <alignment/>
    </xf>
    <xf numFmtId="164" fontId="7" fillId="17" borderId="13" xfId="0" applyNumberFormat="1" applyFont="1" applyFill="1" applyBorder="1" applyAlignment="1">
      <alignment/>
    </xf>
    <xf numFmtId="10" fontId="7" fillId="17" borderId="12" xfId="0" applyNumberFormat="1" applyFont="1" applyFill="1" applyBorder="1" applyAlignment="1">
      <alignment/>
    </xf>
    <xf numFmtId="42" fontId="7" fillId="3" borderId="11" xfId="42" applyNumberFormat="1" applyFont="1" applyFill="1" applyBorder="1" applyAlignment="1">
      <alignment/>
    </xf>
    <xf numFmtId="164" fontId="7" fillId="17" borderId="0" xfId="0" applyNumberFormat="1" applyFont="1" applyFill="1" applyBorder="1" applyAlignment="1">
      <alignment/>
    </xf>
    <xf numFmtId="164" fontId="7" fillId="17" borderId="12" xfId="0" applyNumberFormat="1" applyFont="1" applyFill="1" applyBorder="1" applyAlignment="1">
      <alignment/>
    </xf>
    <xf numFmtId="44" fontId="7" fillId="17" borderId="0" xfId="44" applyFont="1" applyFill="1" applyBorder="1" applyAlignment="1">
      <alignment/>
    </xf>
    <xf numFmtId="10" fontId="7" fillId="17" borderId="0" xfId="0" applyNumberFormat="1" applyFont="1" applyFill="1" applyBorder="1" applyAlignment="1">
      <alignment/>
    </xf>
    <xf numFmtId="43" fontId="7" fillId="17" borderId="12" xfId="0" applyNumberFormat="1" applyFont="1" applyFill="1" applyBorder="1" applyAlignment="1">
      <alignment/>
    </xf>
    <xf numFmtId="9" fontId="7" fillId="17" borderId="0" xfId="0" applyNumberFormat="1" applyFont="1" applyFill="1" applyBorder="1" applyAlignment="1">
      <alignment/>
    </xf>
    <xf numFmtId="2" fontId="7" fillId="17" borderId="12" xfId="0" applyNumberFormat="1" applyFont="1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0" fillId="3" borderId="17" xfId="0" applyFill="1" applyBorder="1" applyAlignment="1">
      <alignment/>
    </xf>
    <xf numFmtId="0" fontId="7" fillId="0" borderId="18" xfId="0" applyFont="1" applyBorder="1" applyAlignment="1">
      <alignment horizontal="left"/>
    </xf>
    <xf numFmtId="0" fontId="0" fillId="17" borderId="17" xfId="0" applyFill="1" applyBorder="1" applyAlignment="1">
      <alignment/>
    </xf>
    <xf numFmtId="0" fontId="7" fillId="13" borderId="17" xfId="0" applyFont="1" applyFill="1" applyBorder="1" applyAlignment="1">
      <alignment/>
    </xf>
    <xf numFmtId="0" fontId="6" fillId="0" borderId="18" xfId="0" applyFont="1" applyBorder="1" applyAlignment="1" quotePrefix="1">
      <alignment horizontal="left"/>
    </xf>
    <xf numFmtId="0" fontId="7" fillId="18" borderId="17" xfId="0" applyFont="1" applyFill="1" applyBorder="1" applyAlignment="1">
      <alignment/>
    </xf>
    <xf numFmtId="0" fontId="7" fillId="19" borderId="17" xfId="0" applyFont="1" applyFill="1" applyBorder="1" applyAlignment="1">
      <alignment/>
    </xf>
    <xf numFmtId="0" fontId="7" fillId="20" borderId="19" xfId="0" applyFont="1" applyFill="1" applyBorder="1" applyAlignment="1">
      <alignment/>
    </xf>
    <xf numFmtId="0" fontId="6" fillId="0" borderId="18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top" wrapText="1"/>
    </xf>
    <xf numFmtId="42" fontId="6" fillId="17" borderId="15" xfId="44" applyNumberFormat="1" applyFont="1" applyFill="1" applyBorder="1" applyAlignment="1">
      <alignment vertical="top" wrapText="1"/>
    </xf>
    <xf numFmtId="42" fontId="6" fillId="17" borderId="16" xfId="44" applyNumberFormat="1" applyFont="1" applyFill="1" applyBorder="1" applyAlignment="1">
      <alignment vertical="top" wrapText="1"/>
    </xf>
    <xf numFmtId="44" fontId="7" fillId="3" borderId="15" xfId="42" applyNumberFormat="1" applyFont="1" applyFill="1" applyBorder="1" applyAlignment="1">
      <alignment/>
    </xf>
    <xf numFmtId="44" fontId="7" fillId="3" borderId="16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4" fillId="11" borderId="20" xfId="0" applyFont="1" applyFill="1" applyBorder="1" applyAlignment="1">
      <alignment horizontal="center" vertical="center"/>
    </xf>
    <xf numFmtId="167" fontId="7" fillId="3" borderId="0" xfId="57" applyNumberFormat="1" applyFont="1" applyFill="1" applyBorder="1" applyAlignment="1">
      <alignment vertical="top" wrapText="1"/>
    </xf>
    <xf numFmtId="1" fontId="7" fillId="3" borderId="0" xfId="57" applyNumberFormat="1" applyFont="1" applyFill="1" applyBorder="1" applyAlignment="1">
      <alignment vertical="top" wrapText="1"/>
    </xf>
    <xf numFmtId="44" fontId="0" fillId="3" borderId="0" xfId="44" applyNumberFormat="1" applyFont="1" applyFill="1" applyAlignment="1">
      <alignment/>
    </xf>
    <xf numFmtId="43" fontId="0" fillId="3" borderId="0" xfId="42" applyNumberFormat="1" applyFont="1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43" fontId="0" fillId="3" borderId="0" xfId="0" applyNumberFormat="1" applyFill="1" applyAlignment="1">
      <alignment/>
    </xf>
    <xf numFmtId="10" fontId="0" fillId="17" borderId="0" xfId="0" applyNumberForma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42" fontId="18" fillId="17" borderId="21" xfId="44" applyNumberFormat="1" applyFont="1" applyFill="1" applyBorder="1" applyAlignment="1">
      <alignment/>
    </xf>
    <xf numFmtId="42" fontId="18" fillId="17" borderId="22" xfId="44" applyNumberFormat="1" applyFont="1" applyFill="1" applyBorder="1" applyAlignment="1">
      <alignment/>
    </xf>
    <xf numFmtId="0" fontId="19" fillId="0" borderId="0" xfId="0" applyFont="1" applyBorder="1" applyAlignment="1">
      <alignment vertical="center"/>
    </xf>
    <xf numFmtId="42" fontId="6" fillId="17" borderId="0" xfId="0" applyNumberFormat="1" applyFont="1" applyFill="1" applyBorder="1" applyAlignment="1">
      <alignment vertical="center"/>
    </xf>
    <xf numFmtId="42" fontId="6" fillId="17" borderId="11" xfId="0" applyNumberFormat="1" applyFont="1" applyFill="1" applyBorder="1" applyAlignment="1">
      <alignment vertical="center"/>
    </xf>
    <xf numFmtId="164" fontId="7" fillId="17" borderId="0" xfId="42" applyNumberFormat="1" applyFont="1" applyFill="1" applyBorder="1" applyAlignment="1">
      <alignment vertical="center"/>
    </xf>
    <xf numFmtId="44" fontId="7" fillId="3" borderId="0" xfId="44" applyFont="1" applyFill="1" applyBorder="1" applyAlignment="1">
      <alignment vertical="center"/>
    </xf>
    <xf numFmtId="0" fontId="8" fillId="11" borderId="0" xfId="0" applyFont="1" applyFill="1" applyAlignment="1">
      <alignment horizontal="center" vertical="center" wrapText="1"/>
    </xf>
    <xf numFmtId="0" fontId="6" fillId="0" borderId="0" xfId="0" applyFont="1" applyBorder="1" applyAlignment="1" quotePrefix="1">
      <alignment horizontal="left"/>
    </xf>
    <xf numFmtId="0" fontId="6" fillId="0" borderId="18" xfId="0" applyFont="1" applyBorder="1" applyAlignment="1" quotePrefix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7" fillId="3" borderId="21" xfId="42" applyNumberFormat="1" applyFont="1" applyFill="1" applyBorder="1" applyAlignment="1">
      <alignment/>
    </xf>
    <xf numFmtId="164" fontId="7" fillId="3" borderId="12" xfId="42" applyNumberFormat="1" applyFont="1" applyFill="1" applyBorder="1" applyAlignment="1">
      <alignment/>
    </xf>
    <xf numFmtId="164" fontId="7" fillId="3" borderId="13" xfId="42" applyNumberFormat="1" applyFont="1" applyFill="1" applyBorder="1" applyAlignment="1">
      <alignment/>
    </xf>
    <xf numFmtId="42" fontId="6" fillId="3" borderId="15" xfId="42" applyNumberFormat="1" applyFont="1" applyFill="1" applyBorder="1" applyAlignment="1">
      <alignment/>
    </xf>
    <xf numFmtId="42" fontId="6" fillId="3" borderId="16" xfId="42" applyNumberFormat="1" applyFont="1" applyFill="1" applyBorder="1" applyAlignment="1">
      <alignment/>
    </xf>
    <xf numFmtId="0" fontId="7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2" fillId="0" borderId="0" xfId="0" applyFont="1" applyAlignment="1">
      <alignment/>
    </xf>
    <xf numFmtId="0" fontId="7" fillId="21" borderId="0" xfId="0" applyFont="1" applyFill="1" applyBorder="1" applyAlignment="1">
      <alignment vertical="center"/>
    </xf>
    <xf numFmtId="0" fontId="7" fillId="21" borderId="0" xfId="0" applyFont="1" applyFill="1" applyAlignment="1">
      <alignment vertical="center"/>
    </xf>
    <xf numFmtId="9" fontId="7" fillId="17" borderId="23" xfId="0" applyNumberFormat="1" applyFont="1" applyFill="1" applyBorder="1" applyAlignment="1">
      <alignment vertical="center"/>
    </xf>
    <xf numFmtId="37" fontId="7" fillId="0" borderId="23" xfId="0" applyNumberFormat="1" applyFont="1" applyFill="1" applyBorder="1" applyAlignment="1">
      <alignment vertical="center"/>
    </xf>
    <xf numFmtId="37" fontId="7" fillId="0" borderId="23" xfId="0" applyNumberFormat="1" applyFont="1" applyBorder="1" applyAlignment="1">
      <alignment vertical="center"/>
    </xf>
    <xf numFmtId="0" fontId="6" fillId="21" borderId="0" xfId="0" applyFont="1" applyFill="1" applyAlignment="1">
      <alignment/>
    </xf>
    <xf numFmtId="41" fontId="7" fillId="3" borderId="11" xfId="0" applyNumberFormat="1" applyFont="1" applyFill="1" applyBorder="1" applyAlignment="1">
      <alignment/>
    </xf>
    <xf numFmtId="41" fontId="7" fillId="3" borderId="12" xfId="42" applyNumberFormat="1" applyFont="1" applyFill="1" applyBorder="1" applyAlignment="1">
      <alignment/>
    </xf>
    <xf numFmtId="41" fontId="7" fillId="3" borderId="13" xfId="42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/>
    </xf>
    <xf numFmtId="42" fontId="7" fillId="3" borderId="11" xfId="0" applyNumberFormat="1" applyFont="1" applyFill="1" applyBorder="1" applyAlignment="1">
      <alignment/>
    </xf>
    <xf numFmtId="9" fontId="7" fillId="3" borderId="12" xfId="0" applyNumberFormat="1" applyFont="1" applyFill="1" applyBorder="1" applyAlignment="1">
      <alignment/>
    </xf>
    <xf numFmtId="164" fontId="7" fillId="3" borderId="11" xfId="0" applyNumberFormat="1" applyFont="1" applyFill="1" applyBorder="1" applyAlignment="1">
      <alignment/>
    </xf>
    <xf numFmtId="164" fontId="7" fillId="3" borderId="13" xfId="0" applyNumberFormat="1" applyFont="1" applyFill="1" applyBorder="1" applyAlignment="1">
      <alignment/>
    </xf>
    <xf numFmtId="0" fontId="6" fillId="0" borderId="24" xfId="0" applyFont="1" applyBorder="1" applyAlignment="1" quotePrefix="1">
      <alignment horizontal="left"/>
    </xf>
    <xf numFmtId="0" fontId="6" fillId="0" borderId="25" xfId="0" applyFont="1" applyBorder="1" applyAlignment="1" quotePrefix="1">
      <alignment horizontal="left"/>
    </xf>
    <xf numFmtId="0" fontId="14" fillId="11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30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4" fillId="11" borderId="31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16" borderId="39" xfId="0" applyFont="1" applyFill="1" applyBorder="1" applyAlignment="1">
      <alignment vertical="center" wrapText="1"/>
    </xf>
    <xf numFmtId="0" fontId="0" fillId="16" borderId="40" xfId="0" applyFill="1" applyBorder="1" applyAlignment="1">
      <alignment vertical="center"/>
    </xf>
    <xf numFmtId="0" fontId="0" fillId="16" borderId="41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vertical="center" wrapText="1"/>
    </xf>
    <xf numFmtId="0" fontId="7" fillId="16" borderId="34" xfId="0" applyFont="1" applyFill="1" applyBorder="1" applyAlignment="1">
      <alignment vertical="center"/>
    </xf>
    <xf numFmtId="0" fontId="7" fillId="16" borderId="35" xfId="0" applyFont="1" applyFill="1" applyBorder="1" applyAlignment="1">
      <alignment vertical="center"/>
    </xf>
    <xf numFmtId="0" fontId="7" fillId="16" borderId="42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7" fillId="16" borderId="43" xfId="0" applyFont="1" applyFill="1" applyBorder="1" applyAlignment="1">
      <alignment vertical="center"/>
    </xf>
    <xf numFmtId="0" fontId="7" fillId="16" borderId="42" xfId="0" applyFont="1" applyFill="1" applyBorder="1" applyAlignment="1">
      <alignment vertical="center" wrapText="1"/>
    </xf>
    <xf numFmtId="0" fontId="0" fillId="16" borderId="0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/>
    </xf>
    <xf numFmtId="0" fontId="6" fillId="0" borderId="0" xfId="0" applyFont="1" applyBorder="1" applyAlignment="1" quotePrefix="1">
      <alignment horizontal="left" vertical="center"/>
    </xf>
    <xf numFmtId="0" fontId="6" fillId="0" borderId="18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5" fillId="11" borderId="32" xfId="0" applyFont="1" applyFill="1" applyBorder="1" applyAlignment="1">
      <alignment vertical="center"/>
    </xf>
    <xf numFmtId="0" fontId="12" fillId="11" borderId="0" xfId="0" applyFont="1" applyFill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1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11" borderId="31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9" fontId="6" fillId="0" borderId="0" xfId="57" applyFont="1" applyBorder="1" applyAlignment="1">
      <alignment horizontal="center"/>
    </xf>
    <xf numFmtId="0" fontId="7" fillId="16" borderId="33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11" fillId="11" borderId="0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vertical="center" wrapText="1"/>
    </xf>
    <xf numFmtId="0" fontId="7" fillId="16" borderId="35" xfId="0" applyFont="1" applyFill="1" applyBorder="1" applyAlignment="1">
      <alignment vertical="center" wrapText="1"/>
    </xf>
    <xf numFmtId="0" fontId="7" fillId="16" borderId="0" xfId="0" applyFont="1" applyFill="1" applyBorder="1" applyAlignment="1">
      <alignment vertical="center" wrapText="1"/>
    </xf>
    <xf numFmtId="0" fontId="7" fillId="16" borderId="43" xfId="0" applyFont="1" applyFill="1" applyBorder="1" applyAlignment="1">
      <alignment vertical="center" wrapText="1"/>
    </xf>
    <xf numFmtId="0" fontId="7" fillId="16" borderId="36" xfId="0" applyFont="1" applyFill="1" applyBorder="1" applyAlignment="1">
      <alignment vertical="center" wrapText="1"/>
    </xf>
    <xf numFmtId="0" fontId="7" fillId="16" borderId="37" xfId="0" applyFont="1" applyFill="1" applyBorder="1" applyAlignment="1">
      <alignment vertical="center" wrapText="1"/>
    </xf>
    <xf numFmtId="0" fontId="7" fillId="16" borderId="38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00FF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333333"/>
                </a:solidFill>
              </a:rPr>
              <a:t>NPV Profile</a:t>
            </a:r>
          </a:p>
        </c:rich>
      </c:tx>
      <c:layout>
        <c:manualLayout>
          <c:xMode val="factor"/>
          <c:yMode val="factor"/>
          <c:x val="0.0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85"/>
          <c:w val="0.84525"/>
          <c:h val="0.5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'Problem 2-8'!$B$41:$B$61</c:f>
              <c:numCache/>
            </c:numRef>
          </c:xVal>
          <c:yVal>
            <c:numRef>
              <c:f>'Problem 2-8'!$C$41:$C$61</c:f>
              <c:numCache/>
            </c:numRef>
          </c:yVal>
          <c:smooth val="1"/>
        </c:ser>
        <c:axId val="66581055"/>
        <c:axId val="62358584"/>
      </c:scatterChart>
      <c:valAx>
        <c:axId val="6658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Discount Rates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2358584"/>
        <c:crosses val="autoZero"/>
        <c:crossBetween val="midCat"/>
        <c:dispUnits/>
      </c:valAx>
      <c:valAx>
        <c:axId val="62358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Net Present Value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5810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6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39</xdr:row>
      <xdr:rowOff>9525</xdr:rowOff>
    </xdr:from>
    <xdr:to>
      <xdr:col>11</xdr:col>
      <xdr:colOff>390525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4038600" y="6867525"/>
        <a:ext cx="6105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21" sqref="C21"/>
    </sheetView>
  </sheetViews>
  <sheetFormatPr defaultColWidth="7.625" defaultRowHeight="12.75"/>
  <cols>
    <col min="1" max="1" width="14.375" style="0" customWidth="1"/>
    <col min="2" max="2" width="12.25390625" style="0" customWidth="1"/>
    <col min="3" max="4" width="12.875" style="0" customWidth="1"/>
    <col min="5" max="5" width="11.625" style="0" customWidth="1"/>
  </cols>
  <sheetData>
    <row r="1" spans="1:6" ht="13.5" thickBot="1">
      <c r="A1" s="6"/>
      <c r="B1" s="6"/>
      <c r="C1" s="6"/>
      <c r="D1" s="6"/>
      <c r="E1" s="6"/>
      <c r="F1" s="6"/>
    </row>
    <row r="2" spans="1:12" ht="15.75" thickTop="1">
      <c r="A2" s="309" t="s">
        <v>112</v>
      </c>
      <c r="B2" s="310"/>
      <c r="C2" s="310"/>
      <c r="D2" s="310"/>
      <c r="E2" s="310"/>
      <c r="G2" s="311" t="s">
        <v>25</v>
      </c>
      <c r="H2" s="312"/>
      <c r="I2" s="312"/>
      <c r="J2" s="312"/>
      <c r="K2" s="312"/>
      <c r="L2" s="313"/>
    </row>
    <row r="3" spans="1:12" ht="15">
      <c r="A3" s="254"/>
      <c r="B3" s="254"/>
      <c r="C3" s="254"/>
      <c r="E3" s="254"/>
      <c r="G3" s="238"/>
      <c r="H3" s="235" t="s">
        <v>26</v>
      </c>
      <c r="I3" s="235"/>
      <c r="J3" s="235"/>
      <c r="K3" s="235"/>
      <c r="L3" s="246"/>
    </row>
    <row r="4" spans="1:12" ht="15">
      <c r="A4" s="306" t="s">
        <v>164</v>
      </c>
      <c r="B4" s="307"/>
      <c r="C4" s="308"/>
      <c r="E4" s="258" t="s">
        <v>62</v>
      </c>
      <c r="G4" s="240"/>
      <c r="H4" s="235" t="s">
        <v>27</v>
      </c>
      <c r="I4" s="247"/>
      <c r="J4" s="237"/>
      <c r="K4" s="237"/>
      <c r="L4" s="239"/>
    </row>
    <row r="5" spans="1:12" ht="12.75">
      <c r="A5" t="s">
        <v>61</v>
      </c>
      <c r="B5" s="101">
        <v>0.1</v>
      </c>
      <c r="G5" s="241"/>
      <c r="H5" s="236" t="s">
        <v>28</v>
      </c>
      <c r="I5" s="236"/>
      <c r="J5" s="236"/>
      <c r="K5" s="236"/>
      <c r="L5" s="242"/>
    </row>
    <row r="6" spans="7:12" ht="12.75">
      <c r="G6" s="243"/>
      <c r="H6" s="278" t="s">
        <v>29</v>
      </c>
      <c r="I6" s="278"/>
      <c r="J6" s="278"/>
      <c r="K6" s="278"/>
      <c r="L6" s="279"/>
    </row>
    <row r="7" spans="2:12" ht="12.75">
      <c r="B7" s="255" t="s">
        <v>54</v>
      </c>
      <c r="C7" s="255" t="s">
        <v>55</v>
      </c>
      <c r="E7" s="255" t="s">
        <v>56</v>
      </c>
      <c r="G7" s="244"/>
      <c r="H7" s="278" t="s">
        <v>30</v>
      </c>
      <c r="I7" s="278"/>
      <c r="J7" s="278"/>
      <c r="K7" s="278"/>
      <c r="L7" s="279"/>
    </row>
    <row r="8" spans="1:12" ht="13.5" thickBot="1">
      <c r="A8" s="378" t="s">
        <v>143</v>
      </c>
      <c r="B8" s="259">
        <v>500</v>
      </c>
      <c r="C8" s="260">
        <v>5</v>
      </c>
      <c r="E8" s="159">
        <f>-PV(B5,C8,,B8)</f>
        <v>310.46066152957746</v>
      </c>
      <c r="G8" s="245"/>
      <c r="H8" s="304" t="s">
        <v>31</v>
      </c>
      <c r="I8" s="304"/>
      <c r="J8" s="304"/>
      <c r="K8" s="304"/>
      <c r="L8" s="305"/>
    </row>
    <row r="9" spans="1:5" ht="13.5" thickTop="1">
      <c r="A9" s="378" t="s">
        <v>144</v>
      </c>
      <c r="B9" s="259">
        <v>500</v>
      </c>
      <c r="C9" s="260">
        <v>5</v>
      </c>
      <c r="E9" s="159">
        <f>-PV($B$5,C9,B9)</f>
        <v>1895.3933847042254</v>
      </c>
    </row>
    <row r="10" spans="1:5" ht="12.75">
      <c r="A10" s="378" t="s">
        <v>141</v>
      </c>
      <c r="B10" s="259">
        <v>500</v>
      </c>
      <c r="C10" s="260">
        <v>50</v>
      </c>
      <c r="E10" s="159">
        <f>-PV($B$5,C10,B10)</f>
        <v>4957.407243602497</v>
      </c>
    </row>
    <row r="11" spans="1:5" ht="12.75">
      <c r="A11" s="378" t="s">
        <v>57</v>
      </c>
      <c r="B11" s="259">
        <v>500</v>
      </c>
      <c r="C11" s="260">
        <v>100</v>
      </c>
      <c r="E11" s="159">
        <f>-PV($B$5,C11,B11)</f>
        <v>4999.637171420492</v>
      </c>
    </row>
    <row r="13" ht="15">
      <c r="A13" s="254"/>
    </row>
    <row r="14" spans="3:4" ht="12.75">
      <c r="C14" s="257"/>
      <c r="D14" s="257"/>
    </row>
    <row r="15" spans="3:4" ht="12.75">
      <c r="C15" s="257"/>
      <c r="D15" s="257"/>
    </row>
    <row r="16" spans="3:4" ht="12.75">
      <c r="C16" s="257"/>
      <c r="D16" s="257"/>
    </row>
    <row r="17" spans="3:4" ht="12.75">
      <c r="C17" s="257"/>
      <c r="D17" s="257"/>
    </row>
    <row r="18" spans="3:4" ht="12.75">
      <c r="C18" s="257"/>
      <c r="D18" s="257"/>
    </row>
    <row r="19" ht="12.75">
      <c r="B19" s="256"/>
    </row>
  </sheetData>
  <sheetProtection/>
  <mergeCells count="6">
    <mergeCell ref="H8:L8"/>
    <mergeCell ref="A4:C4"/>
    <mergeCell ref="A2:E2"/>
    <mergeCell ref="G2:L2"/>
    <mergeCell ref="H6:L6"/>
    <mergeCell ref="H7:L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I2" sqref="I2"/>
    </sheetView>
  </sheetViews>
  <sheetFormatPr defaultColWidth="9.125" defaultRowHeight="12.75"/>
  <cols>
    <col min="1" max="1" width="3.75390625" style="1" customWidth="1"/>
    <col min="2" max="2" width="29.75390625" style="1" bestFit="1" customWidth="1"/>
    <col min="3" max="3" width="14.00390625" style="1" bestFit="1" customWidth="1"/>
    <col min="4" max="8" width="11.25390625" style="1" bestFit="1" customWidth="1"/>
    <col min="9" max="13" width="9.125" style="1" customWidth="1"/>
    <col min="14" max="14" width="17.875" style="1" customWidth="1"/>
    <col min="15" max="16384" width="9.125" style="1" customWidth="1"/>
  </cols>
  <sheetData>
    <row r="2" spans="2:8" s="2" customFormat="1" ht="36" customHeight="1">
      <c r="B2" s="336" t="s">
        <v>2</v>
      </c>
      <c r="C2" s="370"/>
      <c r="D2" s="370"/>
      <c r="E2" s="370"/>
      <c r="F2" s="370"/>
      <c r="G2" s="370"/>
      <c r="H2" s="370"/>
    </row>
    <row r="3" ht="13.5" thickBot="1"/>
    <row r="4" spans="2:14" ht="18" customHeight="1" thickTop="1">
      <c r="B4" s="314" t="s">
        <v>164</v>
      </c>
      <c r="C4" s="316"/>
      <c r="J4" s="311" t="s">
        <v>25</v>
      </c>
      <c r="K4" s="312"/>
      <c r="L4" s="312"/>
      <c r="M4" s="312"/>
      <c r="N4" s="313"/>
    </row>
    <row r="5" spans="2:14" ht="12.75">
      <c r="B5" s="18" t="s">
        <v>75</v>
      </c>
      <c r="C5" s="143">
        <v>760000</v>
      </c>
      <c r="J5" s="238"/>
      <c r="K5" s="350" t="s">
        <v>26</v>
      </c>
      <c r="L5" s="350"/>
      <c r="M5" s="350"/>
      <c r="N5" s="351"/>
    </row>
    <row r="6" spans="2:14" ht="12.75">
      <c r="B6" s="18" t="s">
        <v>76</v>
      </c>
      <c r="C6" s="100" t="s">
        <v>94</v>
      </c>
      <c r="J6" s="240"/>
      <c r="K6" s="235" t="s">
        <v>27</v>
      </c>
      <c r="L6" s="247"/>
      <c r="M6" s="237"/>
      <c r="N6" s="239"/>
    </row>
    <row r="7" spans="2:14" ht="13.5" thickBot="1">
      <c r="B7" s="18" t="s">
        <v>20</v>
      </c>
      <c r="C7" s="144">
        <v>250000</v>
      </c>
      <c r="J7" s="241"/>
      <c r="K7" s="236" t="s">
        <v>28</v>
      </c>
      <c r="L7" s="236"/>
      <c r="M7" s="236"/>
      <c r="N7" s="242"/>
    </row>
    <row r="8" spans="2:14" ht="12.75">
      <c r="B8" s="18" t="s">
        <v>21</v>
      </c>
      <c r="C8" s="144">
        <v>5</v>
      </c>
      <c r="E8" s="338" t="s">
        <v>136</v>
      </c>
      <c r="F8" s="371"/>
      <c r="G8" s="372"/>
      <c r="J8" s="243"/>
      <c r="K8" s="278" t="s">
        <v>29</v>
      </c>
      <c r="L8" s="278"/>
      <c r="M8" s="278"/>
      <c r="N8" s="279"/>
    </row>
    <row r="9" spans="2:14" ht="12.75">
      <c r="B9" s="18" t="s">
        <v>22</v>
      </c>
      <c r="C9" s="144">
        <v>0</v>
      </c>
      <c r="E9" s="344"/>
      <c r="F9" s="373"/>
      <c r="G9" s="374"/>
      <c r="J9" s="244"/>
      <c r="K9" s="278" t="s">
        <v>30</v>
      </c>
      <c r="L9" s="278"/>
      <c r="M9" s="278"/>
      <c r="N9" s="279"/>
    </row>
    <row r="10" spans="2:14" ht="13.5" thickBot="1">
      <c r="B10" s="18" t="s">
        <v>42</v>
      </c>
      <c r="C10" s="145">
        <v>0.3</v>
      </c>
      <c r="E10" s="344"/>
      <c r="F10" s="373"/>
      <c r="G10" s="374"/>
      <c r="J10" s="245"/>
      <c r="K10" s="304" t="s">
        <v>31</v>
      </c>
      <c r="L10" s="304"/>
      <c r="M10" s="304"/>
      <c r="N10" s="305"/>
    </row>
    <row r="11" spans="2:7" ht="14.25" thickBot="1" thickTop="1">
      <c r="B11" s="20" t="s">
        <v>23</v>
      </c>
      <c r="C11" s="146">
        <v>0.09</v>
      </c>
      <c r="E11" s="375"/>
      <c r="F11" s="376"/>
      <c r="G11" s="377"/>
    </row>
    <row r="12" ht="12.75">
      <c r="C12" s="57"/>
    </row>
    <row r="13" spans="2:8" s="2" customFormat="1" ht="18" customHeight="1">
      <c r="B13" s="314" t="s">
        <v>165</v>
      </c>
      <c r="C13" s="315"/>
      <c r="D13" s="315"/>
      <c r="E13" s="315"/>
      <c r="F13" s="315"/>
      <c r="G13" s="315"/>
      <c r="H13" s="316"/>
    </row>
    <row r="14" spans="2:8" ht="12.75">
      <c r="B14" s="18"/>
      <c r="C14" s="352" t="s">
        <v>150</v>
      </c>
      <c r="D14" s="352"/>
      <c r="E14" s="352"/>
      <c r="F14" s="352"/>
      <c r="G14" s="352"/>
      <c r="H14" s="353"/>
    </row>
    <row r="15" spans="2:8" ht="12.75">
      <c r="B15" s="24" t="s">
        <v>88</v>
      </c>
      <c r="C15" s="27">
        <v>0</v>
      </c>
      <c r="D15" s="27">
        <v>1</v>
      </c>
      <c r="E15" s="27">
        <v>2</v>
      </c>
      <c r="F15" s="27">
        <v>3</v>
      </c>
      <c r="G15" s="27">
        <v>4</v>
      </c>
      <c r="H15" s="28">
        <v>5</v>
      </c>
    </row>
    <row r="16" spans="2:8" ht="12.75">
      <c r="B16" s="18" t="s">
        <v>24</v>
      </c>
      <c r="C16" s="22"/>
      <c r="D16" s="226">
        <f>$C$7</f>
        <v>250000</v>
      </c>
      <c r="E16" s="226">
        <f>$C$7</f>
        <v>250000</v>
      </c>
      <c r="F16" s="226">
        <f>$C$7</f>
        <v>250000</v>
      </c>
      <c r="G16" s="226">
        <f>$C$7</f>
        <v>250000</v>
      </c>
      <c r="H16" s="222">
        <f>$C$7</f>
        <v>250000</v>
      </c>
    </row>
    <row r="17" spans="2:8" ht="12.75">
      <c r="B17" s="18" t="s">
        <v>89</v>
      </c>
      <c r="C17" s="22"/>
      <c r="D17" s="227">
        <f>-$C$5/$C$8</f>
        <v>-152000</v>
      </c>
      <c r="E17" s="227">
        <f>-$C$5/$C$8</f>
        <v>-152000</v>
      </c>
      <c r="F17" s="227">
        <f>-$C$5/$C$8</f>
        <v>-152000</v>
      </c>
      <c r="G17" s="227">
        <f>-$C$5/$C$8</f>
        <v>-152000</v>
      </c>
      <c r="H17" s="223">
        <f>-$C$5/$C$8</f>
        <v>-152000</v>
      </c>
    </row>
    <row r="18" spans="2:8" ht="12.75">
      <c r="B18" s="18" t="s">
        <v>126</v>
      </c>
      <c r="C18" s="22"/>
      <c r="D18" s="174">
        <f>D16+D17</f>
        <v>98000</v>
      </c>
      <c r="E18" s="174">
        <f>E16+E17</f>
        <v>98000</v>
      </c>
      <c r="F18" s="174">
        <f>F16+F17</f>
        <v>98000</v>
      </c>
      <c r="G18" s="174">
        <f>G16+G17</f>
        <v>98000</v>
      </c>
      <c r="H18" s="175">
        <f>H16+H17</f>
        <v>98000</v>
      </c>
    </row>
    <row r="19" spans="2:8" ht="12.75">
      <c r="B19" s="18" t="s">
        <v>137</v>
      </c>
      <c r="C19" s="22"/>
      <c r="D19" s="217">
        <f>-D18*$C$10</f>
        <v>-29400</v>
      </c>
      <c r="E19" s="217">
        <f>-E18*$C$10</f>
        <v>-29400</v>
      </c>
      <c r="F19" s="217">
        <f>-F18*$C$10</f>
        <v>-29400</v>
      </c>
      <c r="G19" s="217">
        <f>-G18*$C$10</f>
        <v>-29400</v>
      </c>
      <c r="H19" s="218">
        <f>-H18*$C$10</f>
        <v>-29400</v>
      </c>
    </row>
    <row r="20" spans="2:8" ht="12.75">
      <c r="B20" s="50" t="s">
        <v>85</v>
      </c>
      <c r="C20" s="22"/>
      <c r="D20" s="174">
        <f>D18+D19</f>
        <v>68600</v>
      </c>
      <c r="E20" s="174">
        <f>E18+E19</f>
        <v>68600</v>
      </c>
      <c r="F20" s="174">
        <f>F18+F19</f>
        <v>68600</v>
      </c>
      <c r="G20" s="174">
        <f>G18+G19</f>
        <v>68600</v>
      </c>
      <c r="H20" s="175">
        <f>H18+H19</f>
        <v>68600</v>
      </c>
    </row>
    <row r="21" spans="2:8" ht="12.75">
      <c r="B21" s="18" t="s">
        <v>163</v>
      </c>
      <c r="C21" s="22"/>
      <c r="D21" s="219">
        <f>-D17</f>
        <v>152000</v>
      </c>
      <c r="E21" s="219">
        <f>-E17</f>
        <v>152000</v>
      </c>
      <c r="F21" s="219">
        <f>-F17</f>
        <v>152000</v>
      </c>
      <c r="G21" s="219">
        <f>-G17</f>
        <v>152000</v>
      </c>
      <c r="H21" s="216">
        <f>-H17</f>
        <v>152000</v>
      </c>
    </row>
    <row r="22" spans="2:8" ht="12.75">
      <c r="B22" s="18" t="s">
        <v>90</v>
      </c>
      <c r="C22" s="219">
        <f>-C5</f>
        <v>-760000</v>
      </c>
      <c r="D22" s="112">
        <v>0</v>
      </c>
      <c r="E22" s="112">
        <v>0</v>
      </c>
      <c r="F22" s="112">
        <v>0</v>
      </c>
      <c r="G22" s="112">
        <v>0</v>
      </c>
      <c r="H22" s="216">
        <f>C9*(1-C10)</f>
        <v>0</v>
      </c>
    </row>
    <row r="23" spans="2:8" ht="12.75">
      <c r="B23" s="18" t="s">
        <v>91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44">
        <v>0</v>
      </c>
    </row>
    <row r="24" spans="2:8" ht="13.5" thickBot="1">
      <c r="B24" s="122" t="s">
        <v>93</v>
      </c>
      <c r="C24" s="220">
        <f aca="true" t="shared" si="0" ref="C24:H24">C20+C21+C22+C23</f>
        <v>-760000</v>
      </c>
      <c r="D24" s="220">
        <f t="shared" si="0"/>
        <v>220600</v>
      </c>
      <c r="E24" s="220">
        <f t="shared" si="0"/>
        <v>220600</v>
      </c>
      <c r="F24" s="220">
        <f t="shared" si="0"/>
        <v>220600</v>
      </c>
      <c r="G24" s="220">
        <f t="shared" si="0"/>
        <v>220600</v>
      </c>
      <c r="H24" s="221">
        <f t="shared" si="0"/>
        <v>220600</v>
      </c>
    </row>
    <row r="25" spans="2:8" ht="13.5" thickTop="1">
      <c r="B25" s="18"/>
      <c r="C25" s="2"/>
      <c r="D25" s="2"/>
      <c r="E25" s="2"/>
      <c r="F25" s="2"/>
      <c r="G25" s="2"/>
      <c r="H25" s="19"/>
    </row>
    <row r="26" spans="2:8" ht="12.75">
      <c r="B26" s="24" t="s">
        <v>92</v>
      </c>
      <c r="C26" s="2"/>
      <c r="D26" s="2"/>
      <c r="E26" s="2"/>
      <c r="F26" s="2"/>
      <c r="G26" s="2"/>
      <c r="H26" s="19"/>
    </row>
    <row r="27" spans="2:8" ht="12.75">
      <c r="B27" s="60" t="s">
        <v>127</v>
      </c>
      <c r="C27" s="228">
        <f>NPV(C11,D24:H24)+C24</f>
        <v>98057.06869538862</v>
      </c>
      <c r="D27" s="39"/>
      <c r="E27" s="2"/>
      <c r="F27" s="2"/>
      <c r="G27" s="2"/>
      <c r="H27" s="19"/>
    </row>
    <row r="28" spans="2:8" ht="12.75">
      <c r="B28" s="60" t="s">
        <v>128</v>
      </c>
      <c r="C28" s="229">
        <f>IRR(C24:H24)</f>
        <v>0.13854149009476832</v>
      </c>
      <c r="D28" s="39"/>
      <c r="E28" s="2"/>
      <c r="F28" s="2"/>
      <c r="G28" s="2"/>
      <c r="H28" s="19"/>
    </row>
    <row r="29" spans="2:8" ht="12.75">
      <c r="B29" s="62" t="s">
        <v>74</v>
      </c>
      <c r="C29" s="230">
        <f>-C24/D24</f>
        <v>3.445149592021759</v>
      </c>
      <c r="D29" s="63" t="s">
        <v>71</v>
      </c>
      <c r="E29" s="36"/>
      <c r="F29" s="36"/>
      <c r="G29" s="36"/>
      <c r="H29" s="21"/>
    </row>
  </sheetData>
  <sheetProtection/>
  <mergeCells count="10">
    <mergeCell ref="C14:H14"/>
    <mergeCell ref="B2:H2"/>
    <mergeCell ref="B4:C4"/>
    <mergeCell ref="E8:G11"/>
    <mergeCell ref="B13:H13"/>
    <mergeCell ref="K10:N10"/>
    <mergeCell ref="J4:N4"/>
    <mergeCell ref="K5:N5"/>
    <mergeCell ref="K8:N8"/>
    <mergeCell ref="K9:N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6" sqref="A16"/>
    </sheetView>
  </sheetViews>
  <sheetFormatPr defaultColWidth="7.625" defaultRowHeight="12.75"/>
  <cols>
    <col min="1" max="1" width="14.375" style="0" customWidth="1"/>
    <col min="2" max="2" width="15.375" style="0" customWidth="1"/>
    <col min="3" max="3" width="15.00390625" style="0" customWidth="1"/>
    <col min="4" max="4" width="11.625" style="0" customWidth="1"/>
  </cols>
  <sheetData>
    <row r="1" spans="1:8" ht="13.5" thickBot="1">
      <c r="A1" s="6"/>
      <c r="B1" s="6"/>
      <c r="C1" s="6"/>
      <c r="D1" s="6"/>
      <c r="E1" s="6"/>
      <c r="F1" s="6"/>
      <c r="G1" s="6"/>
      <c r="H1" s="6"/>
    </row>
    <row r="2" spans="1:10" ht="15.75" thickTop="1">
      <c r="A2" s="309" t="s">
        <v>63</v>
      </c>
      <c r="B2" s="310"/>
      <c r="C2" s="310"/>
      <c r="D2" s="254"/>
      <c r="E2" s="311" t="s">
        <v>25</v>
      </c>
      <c r="F2" s="312"/>
      <c r="G2" s="312"/>
      <c r="H2" s="312"/>
      <c r="I2" s="312"/>
      <c r="J2" s="313"/>
    </row>
    <row r="3" spans="1:256" ht="15">
      <c r="A3" s="254"/>
      <c r="B3" s="254"/>
      <c r="C3" s="254"/>
      <c r="D3" s="254"/>
      <c r="E3" s="238"/>
      <c r="F3" s="235" t="s">
        <v>26</v>
      </c>
      <c r="G3" s="235"/>
      <c r="H3" s="235"/>
      <c r="I3" s="235"/>
      <c r="J3" s="246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10" ht="15">
      <c r="A4" s="306" t="s">
        <v>164</v>
      </c>
      <c r="B4" s="307"/>
      <c r="C4" s="308"/>
      <c r="D4" s="254"/>
      <c r="E4" s="240"/>
      <c r="F4" s="235" t="s">
        <v>27</v>
      </c>
      <c r="G4" s="247"/>
      <c r="H4" s="237"/>
      <c r="I4" s="237"/>
      <c r="J4" s="239"/>
    </row>
    <row r="5" spans="1:10" ht="12.75">
      <c r="A5" s="289" t="s">
        <v>143</v>
      </c>
      <c r="E5" s="241"/>
      <c r="F5" s="236" t="s">
        <v>28</v>
      </c>
      <c r="G5" s="236"/>
      <c r="H5" s="236"/>
      <c r="I5" s="236"/>
      <c r="J5" s="242"/>
    </row>
    <row r="6" spans="1:10" ht="12.75">
      <c r="A6" t="s">
        <v>58</v>
      </c>
      <c r="B6" s="261">
        <v>4000000</v>
      </c>
      <c r="E6" s="243"/>
      <c r="F6" s="278" t="s">
        <v>29</v>
      </c>
      <c r="G6" s="278"/>
      <c r="H6" s="278"/>
      <c r="I6" s="278"/>
      <c r="J6" s="279"/>
    </row>
    <row r="7" spans="1:10" ht="12.75">
      <c r="A7" t="s">
        <v>59</v>
      </c>
      <c r="B7" s="262">
        <v>500000</v>
      </c>
      <c r="E7" s="244"/>
      <c r="F7" s="278" t="s">
        <v>30</v>
      </c>
      <c r="G7" s="278"/>
      <c r="H7" s="278"/>
      <c r="I7" s="278"/>
      <c r="J7" s="279"/>
    </row>
    <row r="8" spans="1:10" ht="13.5" thickBot="1">
      <c r="A8" t="s">
        <v>35</v>
      </c>
      <c r="B8" s="263">
        <v>10</v>
      </c>
      <c r="E8" s="245"/>
      <c r="F8" s="304" t="s">
        <v>31</v>
      </c>
      <c r="G8" s="304"/>
      <c r="H8" s="304"/>
      <c r="I8" s="304"/>
      <c r="J8" s="305"/>
    </row>
    <row r="9" ht="13.5" thickTop="1"/>
    <row r="10" spans="1:3" ht="15">
      <c r="A10" s="306" t="s">
        <v>62</v>
      </c>
      <c r="B10" s="280"/>
      <c r="C10" s="281"/>
    </row>
    <row r="11" spans="1:2" ht="12.75">
      <c r="A11" t="s">
        <v>60</v>
      </c>
      <c r="B11" s="266">
        <f>RATE(B8,B7,-B6)</f>
        <v>0.042774978035111016</v>
      </c>
    </row>
    <row r="12" ht="12.75">
      <c r="B12" s="256"/>
    </row>
    <row r="13" ht="12.75">
      <c r="B13" s="256"/>
    </row>
    <row r="14" spans="1:3" ht="15">
      <c r="A14" s="306" t="s">
        <v>164</v>
      </c>
      <c r="B14" s="307"/>
      <c r="C14" s="308"/>
    </row>
    <row r="16" spans="1:3" ht="12.75">
      <c r="A16" s="289" t="s">
        <v>144</v>
      </c>
      <c r="B16" t="s">
        <v>150</v>
      </c>
      <c r="C16" t="s">
        <v>54</v>
      </c>
    </row>
    <row r="17" spans="2:3" ht="12.75">
      <c r="B17" s="263">
        <v>0</v>
      </c>
      <c r="C17" s="264">
        <f>-B6</f>
        <v>-4000000</v>
      </c>
    </row>
    <row r="18" spans="2:3" ht="12.75">
      <c r="B18" s="263">
        <v>1</v>
      </c>
      <c r="C18" s="265">
        <f>$B$7</f>
        <v>500000</v>
      </c>
    </row>
    <row r="19" spans="2:3" ht="12.75">
      <c r="B19" s="263">
        <v>2</v>
      </c>
      <c r="C19" s="265">
        <f aca="true" t="shared" si="0" ref="C19:C31">$B$7</f>
        <v>500000</v>
      </c>
    </row>
    <row r="20" spans="2:3" ht="12.75">
      <c r="B20" s="263">
        <v>3</v>
      </c>
      <c r="C20" s="265">
        <f t="shared" si="0"/>
        <v>500000</v>
      </c>
    </row>
    <row r="21" spans="2:3" ht="12.75">
      <c r="B21" s="263">
        <v>4</v>
      </c>
      <c r="C21" s="265">
        <f t="shared" si="0"/>
        <v>500000</v>
      </c>
    </row>
    <row r="22" spans="2:3" ht="12.75">
      <c r="B22" s="263">
        <v>5</v>
      </c>
      <c r="C22" s="265">
        <f>$B$7-200000</f>
        <v>300000</v>
      </c>
    </row>
    <row r="23" spans="2:3" ht="12.75">
      <c r="B23" s="263">
        <v>6</v>
      </c>
      <c r="C23" s="265">
        <f t="shared" si="0"/>
        <v>500000</v>
      </c>
    </row>
    <row r="24" spans="2:3" ht="12.75">
      <c r="B24" s="263">
        <v>7</v>
      </c>
      <c r="C24" s="265">
        <f t="shared" si="0"/>
        <v>500000</v>
      </c>
    </row>
    <row r="25" spans="2:3" ht="12.75">
      <c r="B25" s="263">
        <v>8</v>
      </c>
      <c r="C25" s="265">
        <f t="shared" si="0"/>
        <v>500000</v>
      </c>
    </row>
    <row r="26" spans="2:3" ht="12.75">
      <c r="B26" s="263">
        <v>9</v>
      </c>
      <c r="C26" s="265">
        <f t="shared" si="0"/>
        <v>500000</v>
      </c>
    </row>
    <row r="27" spans="2:3" ht="12.75">
      <c r="B27" s="263">
        <v>10</v>
      </c>
      <c r="C27" s="265">
        <f t="shared" si="0"/>
        <v>500000</v>
      </c>
    </row>
    <row r="28" spans="2:3" ht="12.75">
      <c r="B28" s="263">
        <v>11</v>
      </c>
      <c r="C28" s="265">
        <f t="shared" si="0"/>
        <v>500000</v>
      </c>
    </row>
    <row r="29" spans="2:3" ht="12.75">
      <c r="B29" s="263">
        <v>12</v>
      </c>
      <c r="C29" s="265">
        <f t="shared" si="0"/>
        <v>500000</v>
      </c>
    </row>
    <row r="30" spans="2:3" ht="12.75">
      <c r="B30" s="263">
        <v>13</v>
      </c>
      <c r="C30" s="265">
        <f t="shared" si="0"/>
        <v>500000</v>
      </c>
    </row>
    <row r="31" spans="2:3" ht="12.75">
      <c r="B31" s="263">
        <v>14</v>
      </c>
      <c r="C31" s="265">
        <f t="shared" si="0"/>
        <v>500000</v>
      </c>
    </row>
    <row r="32" ht="12.75">
      <c r="C32" s="257"/>
    </row>
    <row r="33" spans="1:3" ht="15">
      <c r="A33" s="306" t="s">
        <v>62</v>
      </c>
      <c r="B33" s="280"/>
      <c r="C33" s="281"/>
    </row>
    <row r="34" spans="1:2" ht="12.75">
      <c r="A34" t="s">
        <v>60</v>
      </c>
      <c r="B34" s="266">
        <f>IRR(C17:C31)</f>
        <v>0.07940118125668172</v>
      </c>
    </row>
  </sheetData>
  <sheetProtection/>
  <mergeCells count="9">
    <mergeCell ref="A10:C10"/>
    <mergeCell ref="A14:C14"/>
    <mergeCell ref="A33:C33"/>
    <mergeCell ref="A2:C2"/>
    <mergeCell ref="A4:C4"/>
    <mergeCell ref="E2:J2"/>
    <mergeCell ref="F6:J6"/>
    <mergeCell ref="F7:J7"/>
    <mergeCell ref="F8:J8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PageLayoutView="0" workbookViewId="0" topLeftCell="A1">
      <selection activeCell="J4" sqref="J4:O10"/>
    </sheetView>
  </sheetViews>
  <sheetFormatPr defaultColWidth="11.375" defaultRowHeight="12.75"/>
  <cols>
    <col min="1" max="1" width="2.625" style="1" customWidth="1"/>
    <col min="2" max="2" width="38.125" style="6" customWidth="1"/>
    <col min="3" max="8" width="12.875" style="6" customWidth="1"/>
    <col min="9" max="9" width="2.875" style="1" customWidth="1"/>
    <col min="10" max="13" width="10.25390625" style="1" customWidth="1"/>
    <col min="14" max="16384" width="11.375" style="1" customWidth="1"/>
  </cols>
  <sheetData>
    <row r="2" spans="2:8" s="3" customFormat="1" ht="36" customHeight="1">
      <c r="B2" s="309" t="s">
        <v>64</v>
      </c>
      <c r="C2" s="277"/>
      <c r="D2" s="277"/>
      <c r="E2" s="277"/>
      <c r="F2" s="277"/>
      <c r="G2" s="277"/>
      <c r="H2" s="277"/>
    </row>
    <row r="3" spans="2:8" ht="13.5" thickBot="1">
      <c r="B3" s="15"/>
      <c r="C3" s="13"/>
      <c r="D3" s="13"/>
      <c r="E3" s="13"/>
      <c r="F3" s="13"/>
      <c r="G3" s="13"/>
      <c r="H3" s="13"/>
    </row>
    <row r="4" spans="2:15" ht="18" customHeight="1" thickTop="1">
      <c r="B4" s="314" t="s">
        <v>164</v>
      </c>
      <c r="C4" s="321"/>
      <c r="D4" s="321"/>
      <c r="E4" s="321"/>
      <c r="F4" s="321"/>
      <c r="G4" s="322"/>
      <c r="J4" s="311" t="s">
        <v>25</v>
      </c>
      <c r="K4" s="312"/>
      <c r="L4" s="312"/>
      <c r="M4" s="312"/>
      <c r="N4" s="312"/>
      <c r="O4" s="313"/>
    </row>
    <row r="5" spans="2:15" ht="12.75">
      <c r="B5" s="4" t="s">
        <v>78</v>
      </c>
      <c r="C5" s="101">
        <v>0.05</v>
      </c>
      <c r="D5" s="13"/>
      <c r="E5" s="13"/>
      <c r="F5" s="13"/>
      <c r="G5" s="5"/>
      <c r="J5" s="238"/>
      <c r="K5" s="235" t="s">
        <v>26</v>
      </c>
      <c r="L5" s="235"/>
      <c r="M5" s="235"/>
      <c r="N5" s="235"/>
      <c r="O5" s="246"/>
    </row>
    <row r="6" spans="2:15" ht="12.75">
      <c r="B6" s="4" t="s">
        <v>130</v>
      </c>
      <c r="C6" s="102">
        <v>100000</v>
      </c>
      <c r="D6" s="13"/>
      <c r="E6" s="13"/>
      <c r="F6" s="13"/>
      <c r="G6" s="5"/>
      <c r="J6" s="240"/>
      <c r="K6" s="235" t="s">
        <v>27</v>
      </c>
      <c r="L6" s="247"/>
      <c r="M6" s="237"/>
      <c r="N6" s="237"/>
      <c r="O6" s="239"/>
    </row>
    <row r="7" spans="2:15" ht="12.75">
      <c r="B7" s="4" t="s">
        <v>129</v>
      </c>
      <c r="C7" s="148">
        <v>400000</v>
      </c>
      <c r="D7" s="13"/>
      <c r="E7" s="13"/>
      <c r="F7" s="13"/>
      <c r="G7" s="5"/>
      <c r="J7" s="241"/>
      <c r="K7" s="236" t="s">
        <v>28</v>
      </c>
      <c r="L7" s="236"/>
      <c r="M7" s="236"/>
      <c r="N7" s="236"/>
      <c r="O7" s="242"/>
    </row>
    <row r="8" spans="2:15" s="6" customFormat="1" ht="13.5" customHeight="1">
      <c r="B8" s="4" t="s">
        <v>79</v>
      </c>
      <c r="C8" s="103">
        <v>0</v>
      </c>
      <c r="D8" s="319" t="s">
        <v>80</v>
      </c>
      <c r="E8" s="319"/>
      <c r="F8" s="319"/>
      <c r="G8" s="320"/>
      <c r="J8" s="243"/>
      <c r="K8" s="278" t="s">
        <v>29</v>
      </c>
      <c r="L8" s="278"/>
      <c r="M8" s="278"/>
      <c r="N8" s="278"/>
      <c r="O8" s="279"/>
    </row>
    <row r="9" spans="2:15" ht="12.75">
      <c r="B9" s="4" t="s">
        <v>81</v>
      </c>
      <c r="C9" s="159">
        <f>C7/5</f>
        <v>80000</v>
      </c>
      <c r="D9" s="13"/>
      <c r="E9" s="13"/>
      <c r="F9" s="13"/>
      <c r="G9" s="5"/>
      <c r="J9" s="244"/>
      <c r="K9" s="278" t="s">
        <v>30</v>
      </c>
      <c r="L9" s="278"/>
      <c r="M9" s="278"/>
      <c r="N9" s="278"/>
      <c r="O9" s="279"/>
    </row>
    <row r="10" spans="2:15" ht="13.5" thickBot="1">
      <c r="B10" s="4" t="s">
        <v>42</v>
      </c>
      <c r="C10" s="101">
        <v>0.3</v>
      </c>
      <c r="D10" s="13"/>
      <c r="E10" s="13"/>
      <c r="F10" s="13"/>
      <c r="G10" s="5"/>
      <c r="J10" s="245"/>
      <c r="K10" s="304" t="s">
        <v>31</v>
      </c>
      <c r="L10" s="304"/>
      <c r="M10" s="304"/>
      <c r="N10" s="304"/>
      <c r="O10" s="305"/>
    </row>
    <row r="11" spans="2:7" ht="13.5" thickTop="1">
      <c r="B11" s="4" t="s">
        <v>82</v>
      </c>
      <c r="C11" s="148">
        <v>15000</v>
      </c>
      <c r="D11" s="13" t="s">
        <v>170</v>
      </c>
      <c r="E11" s="13"/>
      <c r="F11" s="13"/>
      <c r="G11" s="5"/>
    </row>
    <row r="12" spans="2:7" ht="12.75">
      <c r="B12" s="16" t="s">
        <v>83</v>
      </c>
      <c r="C12" s="104">
        <v>0.2</v>
      </c>
      <c r="D12" s="248" t="s">
        <v>140</v>
      </c>
      <c r="E12" s="248"/>
      <c r="F12" s="248"/>
      <c r="G12" s="17"/>
    </row>
    <row r="14" spans="2:8" ht="18" customHeight="1">
      <c r="B14" s="314" t="s">
        <v>165</v>
      </c>
      <c r="C14" s="315"/>
      <c r="D14" s="315"/>
      <c r="E14" s="315"/>
      <c r="F14" s="315"/>
      <c r="G14" s="315"/>
      <c r="H14" s="316"/>
    </row>
    <row r="15" spans="2:8" ht="12.75">
      <c r="B15" s="4"/>
      <c r="C15" s="317" t="s">
        <v>150</v>
      </c>
      <c r="D15" s="317"/>
      <c r="E15" s="317"/>
      <c r="F15" s="317"/>
      <c r="G15" s="317"/>
      <c r="H15" s="318"/>
    </row>
    <row r="16" spans="2:8" ht="12.75">
      <c r="B16" s="4"/>
      <c r="C16" s="7">
        <v>0</v>
      </c>
      <c r="D16" s="7">
        <v>1</v>
      </c>
      <c r="E16" s="7">
        <v>2</v>
      </c>
      <c r="F16" s="7">
        <v>3</v>
      </c>
      <c r="G16" s="7">
        <v>4</v>
      </c>
      <c r="H16" s="9">
        <v>5</v>
      </c>
    </row>
    <row r="17" spans="2:8" ht="12.75">
      <c r="B17" s="10" t="s">
        <v>84</v>
      </c>
      <c r="C17" s="11"/>
      <c r="D17" s="159">
        <f>$C$6*(1+$C$5)^(D16-1)</f>
        <v>100000</v>
      </c>
      <c r="E17" s="159">
        <f>$C$6*(1+$C$5)^(E16-1)</f>
        <v>105000</v>
      </c>
      <c r="F17" s="159">
        <f>$C$6*(1+$C$5)^(F16-1)</f>
        <v>110250</v>
      </c>
      <c r="G17" s="159">
        <f>$C$6*(1+$C$5)^(G16-1)</f>
        <v>115762.50000000001</v>
      </c>
      <c r="H17" s="160">
        <f>$C$6*(1+$C$5)^(H16-1)</f>
        <v>121550.625</v>
      </c>
    </row>
    <row r="18" spans="2:8" ht="12.75">
      <c r="B18" s="10" t="s">
        <v>43</v>
      </c>
      <c r="C18" s="14"/>
      <c r="D18" s="161">
        <f>-D17*$C$10</f>
        <v>-30000</v>
      </c>
      <c r="E18" s="161">
        <f>-E17*$C$10</f>
        <v>-31500</v>
      </c>
      <c r="F18" s="161">
        <f>-F17*$C$10</f>
        <v>-33075</v>
      </c>
      <c r="G18" s="161">
        <f>-G17*$C$10</f>
        <v>-34728.75</v>
      </c>
      <c r="H18" s="162">
        <f>-H17*$C$10</f>
        <v>-36465.1875</v>
      </c>
    </row>
    <row r="19" spans="2:8" ht="12.75">
      <c r="B19" s="51" t="s">
        <v>85</v>
      </c>
      <c r="C19" s="11"/>
      <c r="D19" s="159">
        <f>D17+D18</f>
        <v>70000</v>
      </c>
      <c r="E19" s="159">
        <f>E17+E18</f>
        <v>73500</v>
      </c>
      <c r="F19" s="159">
        <f>F17+F18</f>
        <v>77175</v>
      </c>
      <c r="G19" s="159">
        <f>G17+G18</f>
        <v>81033.75000000001</v>
      </c>
      <c r="H19" s="160">
        <f>H17+H18</f>
        <v>85085.4375</v>
      </c>
    </row>
    <row r="20" spans="2:8" ht="12.75">
      <c r="B20" s="10" t="s">
        <v>163</v>
      </c>
      <c r="C20" s="12"/>
      <c r="D20" s="163">
        <f>$C$9</f>
        <v>80000</v>
      </c>
      <c r="E20" s="163">
        <f>D20+$C$8/5</f>
        <v>80000</v>
      </c>
      <c r="F20" s="163">
        <f>E20+$C$8/5</f>
        <v>80000</v>
      </c>
      <c r="G20" s="163">
        <f>F20+$C$8/5</f>
        <v>80000</v>
      </c>
      <c r="H20" s="164">
        <f>G20+$C$8/5</f>
        <v>80000</v>
      </c>
    </row>
    <row r="21" spans="2:8" ht="12.75">
      <c r="B21" s="10" t="s">
        <v>177</v>
      </c>
      <c r="C21" s="165">
        <f>-C7</f>
        <v>-400000</v>
      </c>
      <c r="D21" s="163">
        <f>-(D20+$C$8)</f>
        <v>-80000</v>
      </c>
      <c r="E21" s="163">
        <f>-(E20+$C$8)</f>
        <v>-80000</v>
      </c>
      <c r="F21" s="163">
        <f>-(F20+$C$8)</f>
        <v>-80000</v>
      </c>
      <c r="G21" s="163">
        <f>-(G20+$C$8)</f>
        <v>-80000</v>
      </c>
      <c r="H21" s="164">
        <f>-(H20+$C$8)</f>
        <v>-80000</v>
      </c>
    </row>
    <row r="22" spans="2:13" ht="13.5" customHeight="1" thickBot="1">
      <c r="B22" s="10" t="s">
        <v>37</v>
      </c>
      <c r="C22" s="163">
        <f aca="true" t="shared" si="0" ref="C22:H22">-(D17-C17)*$C$12</f>
        <v>-20000</v>
      </c>
      <c r="D22" s="163">
        <f t="shared" si="0"/>
        <v>-1000</v>
      </c>
      <c r="E22" s="163">
        <f t="shared" si="0"/>
        <v>-1050</v>
      </c>
      <c r="F22" s="163">
        <f t="shared" si="0"/>
        <v>-1102.500000000003</v>
      </c>
      <c r="G22" s="163">
        <f t="shared" si="0"/>
        <v>-1157.624999999997</v>
      </c>
      <c r="H22" s="164">
        <f t="shared" si="0"/>
        <v>24310.125</v>
      </c>
      <c r="J22" s="39"/>
      <c r="K22" s="166"/>
      <c r="L22" s="166"/>
      <c r="M22" s="166"/>
    </row>
    <row r="23" spans="2:13" ht="42" customHeight="1" thickBot="1">
      <c r="B23" s="10" t="s">
        <v>33</v>
      </c>
      <c r="C23" s="186"/>
      <c r="D23" s="187"/>
      <c r="E23" s="187"/>
      <c r="F23" s="187"/>
      <c r="G23" s="187"/>
      <c r="H23" s="164">
        <f>H29</f>
        <v>400000</v>
      </c>
      <c r="J23" s="329" t="s">
        <v>32</v>
      </c>
      <c r="K23" s="330"/>
      <c r="L23" s="330"/>
      <c r="M23" s="331"/>
    </row>
    <row r="24" spans="2:13" ht="13.5" customHeight="1" thickBot="1">
      <c r="B24" s="107" t="s">
        <v>86</v>
      </c>
      <c r="C24" s="249">
        <f>C21+C22</f>
        <v>-420000</v>
      </c>
      <c r="D24" s="249">
        <f>D19+D20+D21+D22</f>
        <v>69000</v>
      </c>
      <c r="E24" s="249">
        <f>E19+E20+E21+E22</f>
        <v>72450</v>
      </c>
      <c r="F24" s="249">
        <f>F19+F20+F21+F22</f>
        <v>76072.5</v>
      </c>
      <c r="G24" s="249">
        <f>G19+G20+G21+G22</f>
        <v>79876.125</v>
      </c>
      <c r="H24" s="250">
        <f>H19+H20+H21+H22+H23</f>
        <v>509395.5625</v>
      </c>
      <c r="J24" s="166"/>
      <c r="K24" s="166"/>
      <c r="L24" s="166"/>
      <c r="M24" s="166"/>
    </row>
    <row r="25" spans="2:8" s="2" customFormat="1" ht="14.25" thickBot="1" thickTop="1">
      <c r="B25" s="10"/>
      <c r="C25" s="13"/>
      <c r="D25" s="13"/>
      <c r="E25" s="13"/>
      <c r="F25" s="13"/>
      <c r="G25" s="13"/>
      <c r="H25" s="108"/>
    </row>
    <row r="26" spans="2:13" ht="12.75">
      <c r="B26" s="106" t="s">
        <v>41</v>
      </c>
      <c r="C26" s="167">
        <v>0</v>
      </c>
      <c r="D26" s="168">
        <f>C29</f>
        <v>400000</v>
      </c>
      <c r="E26" s="168">
        <f>D29</f>
        <v>400000</v>
      </c>
      <c r="F26" s="168">
        <f>E29</f>
        <v>400000</v>
      </c>
      <c r="G26" s="168">
        <f>F29</f>
        <v>400000</v>
      </c>
      <c r="H26" s="169">
        <f>G29</f>
        <v>400000</v>
      </c>
      <c r="J26" s="323" t="s">
        <v>125</v>
      </c>
      <c r="K26" s="324"/>
      <c r="L26" s="324"/>
      <c r="M26" s="325"/>
    </row>
    <row r="27" spans="2:13" ht="13.5" customHeight="1" thickBot="1">
      <c r="B27" s="106" t="s">
        <v>38</v>
      </c>
      <c r="C27" s="170">
        <f aca="true" t="shared" si="1" ref="C27:H27">-C21</f>
        <v>400000</v>
      </c>
      <c r="D27" s="170">
        <f t="shared" si="1"/>
        <v>80000</v>
      </c>
      <c r="E27" s="170">
        <f t="shared" si="1"/>
        <v>80000</v>
      </c>
      <c r="F27" s="170">
        <f t="shared" si="1"/>
        <v>80000</v>
      </c>
      <c r="G27" s="170">
        <f t="shared" si="1"/>
        <v>80000</v>
      </c>
      <c r="H27" s="171">
        <f t="shared" si="1"/>
        <v>80000</v>
      </c>
      <c r="J27" s="326"/>
      <c r="K27" s="327"/>
      <c r="L27" s="327"/>
      <c r="M27" s="328"/>
    </row>
    <row r="28" spans="2:8" ht="13.5" customHeight="1">
      <c r="B28" s="106" t="s">
        <v>39</v>
      </c>
      <c r="C28" s="170">
        <f aca="true" t="shared" si="2" ref="C28:H28">-C20</f>
        <v>0</v>
      </c>
      <c r="D28" s="170">
        <f t="shared" si="2"/>
        <v>-80000</v>
      </c>
      <c r="E28" s="170">
        <f t="shared" si="2"/>
        <v>-80000</v>
      </c>
      <c r="F28" s="170">
        <f t="shared" si="2"/>
        <v>-80000</v>
      </c>
      <c r="G28" s="170">
        <f t="shared" si="2"/>
        <v>-80000</v>
      </c>
      <c r="H28" s="171">
        <f t="shared" si="2"/>
        <v>-80000</v>
      </c>
    </row>
    <row r="29" spans="2:8" ht="13.5" customHeight="1" thickBot="1">
      <c r="B29" s="105" t="s">
        <v>40</v>
      </c>
      <c r="C29" s="172">
        <f>C26+C27-C28</f>
        <v>400000</v>
      </c>
      <c r="D29" s="172">
        <f>D26+D27+D28</f>
        <v>400000</v>
      </c>
      <c r="E29" s="172">
        <f>E26+E27+E28</f>
        <v>400000</v>
      </c>
      <c r="F29" s="172">
        <f>F26+F27+F28</f>
        <v>400000</v>
      </c>
      <c r="G29" s="172">
        <f>G26+G27+G28</f>
        <v>400000</v>
      </c>
      <c r="H29" s="173">
        <f>H26+H27+H28</f>
        <v>400000</v>
      </c>
    </row>
    <row r="30" ht="13.5" thickTop="1">
      <c r="C30" s="8"/>
    </row>
  </sheetData>
  <sheetProtection/>
  <mergeCells count="11">
    <mergeCell ref="J26:M27"/>
    <mergeCell ref="J23:M23"/>
    <mergeCell ref="J4:O4"/>
    <mergeCell ref="K8:O8"/>
    <mergeCell ref="B2:H2"/>
    <mergeCell ref="B14:H14"/>
    <mergeCell ref="C15:H15"/>
    <mergeCell ref="K9:O9"/>
    <mergeCell ref="K10:O10"/>
    <mergeCell ref="D8:G8"/>
    <mergeCell ref="B4:G4"/>
  </mergeCells>
  <printOptions gridLines="1"/>
  <pageMargins left="0.75" right="0.75" top="1" bottom="1" header="0.5" footer="0.5"/>
  <pageSetup fitToHeight="1" fitToWidth="1" orientation="landscape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zoomScalePageLayoutView="0" workbookViewId="0" topLeftCell="A1">
      <selection activeCell="D29" sqref="D29"/>
    </sheetView>
  </sheetViews>
  <sheetFormatPr defaultColWidth="11.375" defaultRowHeight="12.75"/>
  <cols>
    <col min="1" max="1" width="2.875" style="1" customWidth="1"/>
    <col min="2" max="2" width="39.75390625" style="1" customWidth="1"/>
    <col min="3" max="3" width="11.125" style="1" customWidth="1"/>
    <col min="4" max="4" width="11.875" style="1" customWidth="1"/>
    <col min="5" max="5" width="13.375" style="1" bestFit="1" customWidth="1"/>
    <col min="6" max="6" width="11.125" style="1" bestFit="1" customWidth="1"/>
    <col min="7" max="9" width="12.25390625" style="1" bestFit="1" customWidth="1"/>
    <col min="10" max="13" width="11.375" style="1" customWidth="1"/>
    <col min="14" max="14" width="33.375" style="1" bestFit="1" customWidth="1"/>
    <col min="15" max="16384" width="11.375" style="1" customWidth="1"/>
  </cols>
  <sheetData>
    <row r="2" spans="2:9" s="3" customFormat="1" ht="36" customHeight="1">
      <c r="B2" s="336" t="s">
        <v>65</v>
      </c>
      <c r="C2" s="336"/>
      <c r="D2" s="337"/>
      <c r="E2" s="337"/>
      <c r="F2" s="337"/>
      <c r="G2" s="337"/>
      <c r="H2" s="337"/>
      <c r="I2" s="337"/>
    </row>
    <row r="3" s="3" customFormat="1" ht="15"/>
    <row r="4" s="3" customFormat="1" ht="15">
      <c r="B4" s="272" t="s">
        <v>6</v>
      </c>
    </row>
    <row r="5" ht="13.5" thickBot="1"/>
    <row r="6" spans="2:11" ht="18" customHeight="1" thickTop="1">
      <c r="B6" s="314" t="s">
        <v>164</v>
      </c>
      <c r="C6" s="321"/>
      <c r="D6" s="315"/>
      <c r="E6" s="316"/>
      <c r="G6" s="311" t="s">
        <v>25</v>
      </c>
      <c r="H6" s="312"/>
      <c r="I6" s="312"/>
      <c r="J6" s="312"/>
      <c r="K6" s="313"/>
    </row>
    <row r="7" spans="2:11" ht="12.75">
      <c r="B7" s="52" t="s">
        <v>120</v>
      </c>
      <c r="C7" s="234">
        <v>40148</v>
      </c>
      <c r="D7" s="233">
        <v>40513</v>
      </c>
      <c r="G7" s="238"/>
      <c r="H7" s="350" t="s">
        <v>26</v>
      </c>
      <c r="I7" s="350"/>
      <c r="J7" s="350"/>
      <c r="K7" s="351"/>
    </row>
    <row r="8" spans="2:11" ht="12.75">
      <c r="B8" s="18" t="s">
        <v>157</v>
      </c>
      <c r="C8" s="150">
        <v>12211</v>
      </c>
      <c r="D8" s="149">
        <v>13368</v>
      </c>
      <c r="G8" s="240"/>
      <c r="H8" s="235" t="s">
        <v>27</v>
      </c>
      <c r="I8" s="247"/>
      <c r="J8" s="237"/>
      <c r="K8" s="239"/>
    </row>
    <row r="9" spans="2:11" ht="12.75">
      <c r="B9" s="18" t="s">
        <v>158</v>
      </c>
      <c r="C9" s="116">
        <v>-9755</v>
      </c>
      <c r="D9" s="115">
        <v>-10591</v>
      </c>
      <c r="G9" s="241"/>
      <c r="H9" s="236" t="s">
        <v>28</v>
      </c>
      <c r="I9" s="236"/>
      <c r="J9" s="236"/>
      <c r="K9" s="242"/>
    </row>
    <row r="10" spans="2:11" ht="12.75">
      <c r="B10" s="18" t="s">
        <v>159</v>
      </c>
      <c r="C10" s="114">
        <f>C8+C9</f>
        <v>2456</v>
      </c>
      <c r="D10" s="113">
        <f>D8+D9</f>
        <v>2777</v>
      </c>
      <c r="G10" s="243"/>
      <c r="H10" s="278" t="s">
        <v>29</v>
      </c>
      <c r="I10" s="278"/>
      <c r="J10" s="278"/>
      <c r="K10" s="279"/>
    </row>
    <row r="11" spans="2:11" ht="12.75">
      <c r="B11" s="18" t="s">
        <v>171</v>
      </c>
      <c r="C11" s="114">
        <v>-704</v>
      </c>
      <c r="D11" s="113">
        <v>-698</v>
      </c>
      <c r="G11" s="244"/>
      <c r="H11" s="278" t="s">
        <v>30</v>
      </c>
      <c r="I11" s="278"/>
      <c r="J11" s="278"/>
      <c r="K11" s="279"/>
    </row>
    <row r="12" spans="2:11" ht="13.5" thickBot="1">
      <c r="B12" s="18" t="s">
        <v>160</v>
      </c>
      <c r="C12" s="114">
        <f>C10+C11</f>
        <v>1752</v>
      </c>
      <c r="D12" s="113">
        <f>D10+D11</f>
        <v>2079</v>
      </c>
      <c r="G12" s="245"/>
      <c r="H12" s="304" t="s">
        <v>31</v>
      </c>
      <c r="I12" s="304"/>
      <c r="J12" s="304"/>
      <c r="K12" s="305"/>
    </row>
    <row r="13" spans="2:4" ht="12.75">
      <c r="B13" s="18" t="s">
        <v>121</v>
      </c>
      <c r="C13" s="116">
        <v>-794</v>
      </c>
      <c r="D13" s="115">
        <v>-871</v>
      </c>
    </row>
    <row r="14" spans="2:4" ht="12.75">
      <c r="B14" s="18" t="s">
        <v>161</v>
      </c>
      <c r="C14" s="114">
        <f>C12+C13</f>
        <v>958</v>
      </c>
      <c r="D14" s="113">
        <f>D12+D13</f>
        <v>1208</v>
      </c>
    </row>
    <row r="15" spans="2:4" ht="12.75">
      <c r="B15" s="18" t="s">
        <v>162</v>
      </c>
      <c r="C15" s="114">
        <v>-265</v>
      </c>
      <c r="D15" s="113">
        <v>-295</v>
      </c>
    </row>
    <row r="16" spans="2:4" ht="12.75">
      <c r="B16" s="18" t="s">
        <v>166</v>
      </c>
      <c r="C16" s="114">
        <v>139</v>
      </c>
      <c r="D16" s="113">
        <v>151</v>
      </c>
    </row>
    <row r="17" spans="2:4" ht="12.75">
      <c r="B17" s="18" t="s">
        <v>167</v>
      </c>
      <c r="C17" s="116">
        <v>20</v>
      </c>
      <c r="D17" s="115">
        <v>0</v>
      </c>
    </row>
    <row r="18" spans="2:4" ht="12.75">
      <c r="B18" s="18" t="s">
        <v>168</v>
      </c>
      <c r="C18" s="114">
        <f>C14+C15+C16+C17</f>
        <v>852</v>
      </c>
      <c r="D18" s="113">
        <v>1064</v>
      </c>
    </row>
    <row r="19" spans="2:4" ht="12.75">
      <c r="B19" s="18" t="s">
        <v>169</v>
      </c>
      <c r="C19" s="116">
        <f>C18*-$D$25</f>
        <v>-340.8</v>
      </c>
      <c r="D19" s="115">
        <f>D18*-$D$25</f>
        <v>-425.6</v>
      </c>
    </row>
    <row r="20" spans="2:4" ht="13.5" thickBot="1">
      <c r="B20" s="18" t="s">
        <v>77</v>
      </c>
      <c r="C20" s="252">
        <f>C18+C19</f>
        <v>511.2</v>
      </c>
      <c r="D20" s="251">
        <f>D18+D19</f>
        <v>638.4</v>
      </c>
    </row>
    <row r="21" spans="2:4" ht="13.5" thickBot="1">
      <c r="B21" s="18"/>
      <c r="C21" s="58"/>
      <c r="D21" s="127"/>
    </row>
    <row r="22" spans="2:10" ht="12.75">
      <c r="B22" s="18" t="s">
        <v>172</v>
      </c>
      <c r="C22" s="118">
        <v>875</v>
      </c>
      <c r="D22" s="117">
        <v>1322</v>
      </c>
      <c r="G22" s="338" t="s">
        <v>124</v>
      </c>
      <c r="H22" s="339"/>
      <c r="I22" s="339"/>
      <c r="J22" s="340"/>
    </row>
    <row r="23" spans="2:10" ht="12.75">
      <c r="B23" s="18" t="s">
        <v>173</v>
      </c>
      <c r="C23" s="118">
        <v>102</v>
      </c>
      <c r="D23" s="117">
        <v>-430</v>
      </c>
      <c r="G23" s="341"/>
      <c r="H23" s="342"/>
      <c r="I23" s="342"/>
      <c r="J23" s="343"/>
    </row>
    <row r="24" spans="2:10" ht="12.75">
      <c r="B24" s="18"/>
      <c r="C24" s="61"/>
      <c r="D24" s="39"/>
      <c r="G24" s="344" t="s">
        <v>4</v>
      </c>
      <c r="H24" s="345"/>
      <c r="I24" s="345"/>
      <c r="J24" s="346"/>
    </row>
    <row r="25" spans="2:10" ht="13.5" thickBot="1">
      <c r="B25" s="20" t="s">
        <v>95</v>
      </c>
      <c r="C25" s="121">
        <v>0.4</v>
      </c>
      <c r="D25" s="120">
        <v>0.4</v>
      </c>
      <c r="G25" s="347"/>
      <c r="H25" s="348"/>
      <c r="I25" s="348"/>
      <c r="J25" s="349"/>
    </row>
    <row r="27" spans="2:9" s="2" customFormat="1" ht="18" customHeight="1">
      <c r="B27" s="314" t="s">
        <v>165</v>
      </c>
      <c r="C27" s="321"/>
      <c r="D27" s="315"/>
      <c r="E27" s="315"/>
      <c r="F27" s="315"/>
      <c r="G27" s="315"/>
      <c r="H27" s="315"/>
      <c r="I27" s="316"/>
    </row>
    <row r="28" spans="2:9" ht="12.75">
      <c r="B28" s="91" t="s">
        <v>3</v>
      </c>
      <c r="C28" s="267"/>
      <c r="D28" s="332" t="s">
        <v>150</v>
      </c>
      <c r="E28" s="332"/>
      <c r="F28" s="253"/>
      <c r="G28" s="253"/>
      <c r="H28" s="253"/>
      <c r="I28" s="65"/>
    </row>
    <row r="29" spans="2:9" ht="12.75">
      <c r="B29" s="18"/>
      <c r="C29" s="27">
        <v>2009</v>
      </c>
      <c r="D29" s="27">
        <v>2010</v>
      </c>
      <c r="E29" s="2"/>
      <c r="F29" s="2"/>
      <c r="G29" s="2"/>
      <c r="H29" s="2"/>
      <c r="I29" s="19"/>
    </row>
    <row r="30" spans="2:9" ht="12.75">
      <c r="B30" s="18" t="s">
        <v>174</v>
      </c>
      <c r="C30" s="153">
        <f>C14</f>
        <v>958</v>
      </c>
      <c r="D30" s="153">
        <f>D14</f>
        <v>1208</v>
      </c>
      <c r="E30" s="2"/>
      <c r="F30" s="2"/>
      <c r="G30" s="2"/>
      <c r="H30" s="2"/>
      <c r="I30" s="19"/>
    </row>
    <row r="31" spans="2:9" ht="12.75">
      <c r="B31" s="18" t="s">
        <v>175</v>
      </c>
      <c r="C31" s="154">
        <f>C30*(1-D25)</f>
        <v>574.8</v>
      </c>
      <c r="D31" s="154">
        <f>D30*(1-$D$25)</f>
        <v>724.8</v>
      </c>
      <c r="E31" s="2"/>
      <c r="F31" s="2"/>
      <c r="G31" s="2"/>
      <c r="H31" s="2"/>
      <c r="I31" s="19"/>
    </row>
    <row r="32" spans="2:9" ht="12.75">
      <c r="B32" s="18" t="s">
        <v>176</v>
      </c>
      <c r="C32" s="154">
        <f>C13</f>
        <v>-794</v>
      </c>
      <c r="D32" s="154">
        <f>D13</f>
        <v>-871</v>
      </c>
      <c r="E32" s="2"/>
      <c r="F32" s="2"/>
      <c r="G32" s="2"/>
      <c r="H32" s="2"/>
      <c r="I32" s="19"/>
    </row>
    <row r="33" spans="2:9" ht="12.75">
      <c r="B33" s="18" t="s">
        <v>177</v>
      </c>
      <c r="C33" s="154">
        <f>-C22</f>
        <v>-875</v>
      </c>
      <c r="D33" s="154">
        <f>-D22</f>
        <v>-1322</v>
      </c>
      <c r="E33" s="2"/>
      <c r="F33" s="2"/>
      <c r="G33" s="2"/>
      <c r="H33" s="2"/>
      <c r="I33" s="19"/>
    </row>
    <row r="34" spans="2:9" ht="12.75">
      <c r="B34" s="18" t="s">
        <v>178</v>
      </c>
      <c r="C34" s="154">
        <f>-C23</f>
        <v>-102</v>
      </c>
      <c r="D34" s="154">
        <f>-D23</f>
        <v>430</v>
      </c>
      <c r="E34" s="2"/>
      <c r="F34" s="2"/>
      <c r="G34" s="2"/>
      <c r="H34" s="2"/>
      <c r="I34" s="19"/>
    </row>
    <row r="35" spans="2:9" ht="13.5" thickBot="1">
      <c r="B35" s="122" t="s">
        <v>69</v>
      </c>
      <c r="C35" s="155">
        <f>C31+C32+C33+C34</f>
        <v>-1196.2</v>
      </c>
      <c r="D35" s="155">
        <f>D31+D32+D33+D34</f>
        <v>-1038.2</v>
      </c>
      <c r="E35" s="2"/>
      <c r="F35" s="39"/>
      <c r="G35" s="39"/>
      <c r="H35" s="39"/>
      <c r="I35" s="61"/>
    </row>
    <row r="36" spans="2:9" ht="12.75">
      <c r="B36" s="98"/>
      <c r="C36" s="39"/>
      <c r="D36" s="39"/>
      <c r="E36" s="39"/>
      <c r="F36" s="39"/>
      <c r="G36" s="39"/>
      <c r="H36" s="39"/>
      <c r="I36" s="61"/>
    </row>
    <row r="37" spans="2:9" ht="12.75">
      <c r="B37" s="123" t="s">
        <v>5</v>
      </c>
      <c r="C37" s="268"/>
      <c r="D37" s="333" t="s">
        <v>150</v>
      </c>
      <c r="E37" s="334"/>
      <c r="F37" s="334"/>
      <c r="G37" s="334"/>
      <c r="H37" s="334"/>
      <c r="I37" s="335"/>
    </row>
    <row r="38" spans="2:9" ht="12.75">
      <c r="B38" s="98"/>
      <c r="C38" s="39"/>
      <c r="D38" s="25">
        <f>D29</f>
        <v>2010</v>
      </c>
      <c r="E38" s="25">
        <v>2011</v>
      </c>
      <c r="F38" s="25">
        <f>E38+1</f>
        <v>2012</v>
      </c>
      <c r="G38" s="25">
        <f>F38+1</f>
        <v>2013</v>
      </c>
      <c r="H38" s="25">
        <f>G38+1</f>
        <v>2014</v>
      </c>
      <c r="I38" s="26">
        <f>H38+1</f>
        <v>2015</v>
      </c>
    </row>
    <row r="39" spans="2:9" ht="12.75">
      <c r="B39" s="98" t="s">
        <v>70</v>
      </c>
      <c r="C39" s="39"/>
      <c r="D39" s="156">
        <f>D14</f>
        <v>1208</v>
      </c>
      <c r="E39" s="153">
        <f>D39*1.1</f>
        <v>1328.8000000000002</v>
      </c>
      <c r="F39" s="153">
        <f>E39*1.1</f>
        <v>1461.6800000000003</v>
      </c>
      <c r="G39" s="153">
        <f>F39*1.1</f>
        <v>1607.8480000000004</v>
      </c>
      <c r="H39" s="153">
        <f>G39*1.1</f>
        <v>1768.6328000000005</v>
      </c>
      <c r="I39" s="157">
        <f>H39*1.1</f>
        <v>1945.4960800000008</v>
      </c>
    </row>
    <row r="40" spans="2:9" ht="12.75">
      <c r="B40" s="98" t="s">
        <v>122</v>
      </c>
      <c r="C40" s="39"/>
      <c r="D40" s="154">
        <f aca="true" t="shared" si="0" ref="D40:I40">D39*(1-$D$25)</f>
        <v>724.8</v>
      </c>
      <c r="E40" s="154">
        <f t="shared" si="0"/>
        <v>797.2800000000001</v>
      </c>
      <c r="F40" s="154">
        <f t="shared" si="0"/>
        <v>877.0080000000002</v>
      </c>
      <c r="G40" s="154">
        <f t="shared" si="0"/>
        <v>964.7088000000002</v>
      </c>
      <c r="H40" s="154">
        <f t="shared" si="0"/>
        <v>1061.1796800000002</v>
      </c>
      <c r="I40" s="158">
        <f t="shared" si="0"/>
        <v>1167.2976480000004</v>
      </c>
    </row>
    <row r="41" spans="2:9" ht="12.75">
      <c r="B41" s="98" t="s">
        <v>176</v>
      </c>
      <c r="C41" s="39"/>
      <c r="D41" s="117">
        <f>-D32</f>
        <v>871</v>
      </c>
      <c r="E41" s="117">
        <f>-D13+0.1*D22</f>
        <v>1003.2</v>
      </c>
      <c r="F41" s="117">
        <f>E41-0.1*E42</f>
        <v>1103.2</v>
      </c>
      <c r="G41" s="117">
        <f>F41-0.1*F42</f>
        <v>1203.2</v>
      </c>
      <c r="H41" s="117">
        <f>G41-0.1*G42</f>
        <v>1303.2</v>
      </c>
      <c r="I41" s="118">
        <f>H41-0.1*H42</f>
        <v>1403.2</v>
      </c>
    </row>
    <row r="42" spans="2:9" ht="12.75">
      <c r="B42" s="98" t="s">
        <v>177</v>
      </c>
      <c r="C42" s="39"/>
      <c r="D42" s="117">
        <f>D33</f>
        <v>-1322</v>
      </c>
      <c r="E42" s="117">
        <v>-1000</v>
      </c>
      <c r="F42" s="117">
        <v>-1000</v>
      </c>
      <c r="G42" s="117">
        <v>-1000</v>
      </c>
      <c r="H42" s="117">
        <v>-1000</v>
      </c>
      <c r="I42" s="118">
        <v>-1000</v>
      </c>
    </row>
    <row r="43" spans="2:9" ht="12.75">
      <c r="B43" s="98" t="s">
        <v>178</v>
      </c>
      <c r="C43" s="39"/>
      <c r="D43" s="117">
        <f>D34</f>
        <v>430</v>
      </c>
      <c r="E43" s="117">
        <v>-100</v>
      </c>
      <c r="F43" s="117">
        <v>-100</v>
      </c>
      <c r="G43" s="117">
        <v>-100</v>
      </c>
      <c r="H43" s="117">
        <v>-100</v>
      </c>
      <c r="I43" s="118">
        <v>-100</v>
      </c>
    </row>
    <row r="44" spans="2:17" s="37" customFormat="1" ht="12.75">
      <c r="B44" s="109" t="s">
        <v>69</v>
      </c>
      <c r="C44" s="269"/>
      <c r="D44" s="270">
        <f>D35</f>
        <v>-1038.2</v>
      </c>
      <c r="E44" s="270">
        <f>E40+E41+E42+E43</f>
        <v>700.48</v>
      </c>
      <c r="F44" s="270">
        <f>F40+F41+F42+F43</f>
        <v>880.2080000000001</v>
      </c>
      <c r="G44" s="270">
        <f>G40+G41+G42+G43</f>
        <v>1067.9088000000002</v>
      </c>
      <c r="H44" s="270">
        <f>H40+H41+H42+H43</f>
        <v>1264.37968</v>
      </c>
      <c r="I44" s="271">
        <f>I40+I41+I42+I43</f>
        <v>1470.4976480000005</v>
      </c>
      <c r="N44" s="1"/>
      <c r="O44" s="1"/>
      <c r="P44" s="1"/>
      <c r="Q44" s="1"/>
    </row>
    <row r="47" ht="12" customHeight="1"/>
  </sheetData>
  <sheetProtection/>
  <mergeCells count="12">
    <mergeCell ref="B2:I2"/>
    <mergeCell ref="B6:E6"/>
    <mergeCell ref="G22:J23"/>
    <mergeCell ref="G24:J25"/>
    <mergeCell ref="G6:K6"/>
    <mergeCell ref="H7:K7"/>
    <mergeCell ref="H10:K10"/>
    <mergeCell ref="H11:K11"/>
    <mergeCell ref="H12:K12"/>
    <mergeCell ref="B27:I27"/>
    <mergeCell ref="D28:E28"/>
    <mergeCell ref="D37:I37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I2" sqref="I2"/>
    </sheetView>
  </sheetViews>
  <sheetFormatPr defaultColWidth="8.75390625" defaultRowHeight="12.75"/>
  <cols>
    <col min="1" max="1" width="2.875" style="1" customWidth="1"/>
    <col min="2" max="2" width="32.25390625" style="1" customWidth="1"/>
    <col min="3" max="8" width="12.875" style="1" customWidth="1"/>
    <col min="9" max="9" width="8.75390625" style="1" customWidth="1"/>
    <col min="10" max="10" width="10.625" style="1" customWidth="1"/>
    <col min="11" max="16384" width="8.75390625" style="1" customWidth="1"/>
  </cols>
  <sheetData>
    <row r="2" spans="2:8" s="40" customFormat="1" ht="36" customHeight="1">
      <c r="B2" s="336" t="s">
        <v>66</v>
      </c>
      <c r="C2" s="354"/>
      <c r="D2" s="354"/>
      <c r="E2" s="354"/>
      <c r="F2" s="354"/>
      <c r="G2" s="354"/>
      <c r="H2" s="354"/>
    </row>
    <row r="3" spans="2:8" s="38" customFormat="1" ht="12.75" customHeight="1" thickBot="1">
      <c r="B3" s="41"/>
      <c r="C3" s="42"/>
      <c r="D3" s="42"/>
      <c r="E3" s="42"/>
      <c r="F3" s="42"/>
      <c r="G3" s="42"/>
      <c r="H3" s="42"/>
    </row>
    <row r="4" spans="2:10" ht="18" customHeight="1" thickTop="1">
      <c r="B4" s="314" t="s">
        <v>164</v>
      </c>
      <c r="C4" s="315"/>
      <c r="D4" s="355"/>
      <c r="F4" s="311" t="s">
        <v>25</v>
      </c>
      <c r="G4" s="312"/>
      <c r="H4" s="312"/>
      <c r="I4" s="312"/>
      <c r="J4" s="313"/>
    </row>
    <row r="5" spans="2:10" ht="12.75">
      <c r="B5" s="18" t="s">
        <v>46</v>
      </c>
      <c r="C5" s="126">
        <v>0.1</v>
      </c>
      <c r="D5" s="19"/>
      <c r="F5" s="238"/>
      <c r="G5" s="350" t="s">
        <v>26</v>
      </c>
      <c r="H5" s="350"/>
      <c r="I5" s="350"/>
      <c r="J5" s="351"/>
    </row>
    <row r="6" spans="2:10" ht="12.75">
      <c r="B6" s="18" t="s">
        <v>45</v>
      </c>
      <c r="C6" s="151">
        <v>9000000</v>
      </c>
      <c r="D6" s="19"/>
      <c r="F6" s="240"/>
      <c r="G6" s="235" t="s">
        <v>27</v>
      </c>
      <c r="H6" s="247"/>
      <c r="I6" s="237"/>
      <c r="J6" s="239"/>
    </row>
    <row r="7" spans="2:10" ht="12.75">
      <c r="B7" s="18" t="s">
        <v>47</v>
      </c>
      <c r="C7" s="151">
        <v>900000</v>
      </c>
      <c r="D7" s="19"/>
      <c r="F7" s="241"/>
      <c r="G7" s="236" t="s">
        <v>28</v>
      </c>
      <c r="H7" s="236"/>
      <c r="I7" s="236"/>
      <c r="J7" s="242"/>
    </row>
    <row r="8" spans="2:10" ht="12.75">
      <c r="B8" s="18" t="s">
        <v>129</v>
      </c>
      <c r="C8" s="142">
        <v>1860000</v>
      </c>
      <c r="D8" s="19"/>
      <c r="F8" s="243"/>
      <c r="G8" s="278" t="s">
        <v>29</v>
      </c>
      <c r="H8" s="278"/>
      <c r="I8" s="278"/>
      <c r="J8" s="279"/>
    </row>
    <row r="9" spans="2:10" ht="12.75">
      <c r="B9" s="18" t="s">
        <v>79</v>
      </c>
      <c r="C9" s="142">
        <v>0</v>
      </c>
      <c r="D9" s="19"/>
      <c r="F9" s="244"/>
      <c r="G9" s="278" t="s">
        <v>30</v>
      </c>
      <c r="H9" s="278"/>
      <c r="I9" s="278"/>
      <c r="J9" s="279"/>
    </row>
    <row r="10" spans="2:10" ht="13.5" thickBot="1">
      <c r="B10" s="18" t="s">
        <v>97</v>
      </c>
      <c r="C10" s="142">
        <v>120000</v>
      </c>
      <c r="D10" s="19" t="s">
        <v>98</v>
      </c>
      <c r="F10" s="245"/>
      <c r="G10" s="304" t="s">
        <v>31</v>
      </c>
      <c r="H10" s="304"/>
      <c r="I10" s="304"/>
      <c r="J10" s="305"/>
    </row>
    <row r="11" spans="2:4" ht="13.5" thickTop="1">
      <c r="B11" s="18" t="s">
        <v>99</v>
      </c>
      <c r="C11" s="112">
        <v>5</v>
      </c>
      <c r="D11" s="19" t="s">
        <v>71</v>
      </c>
    </row>
    <row r="12" spans="2:4" ht="12.75">
      <c r="B12" s="18" t="s">
        <v>81</v>
      </c>
      <c r="C12" s="174">
        <f>C8/C11</f>
        <v>372000</v>
      </c>
      <c r="D12" s="19"/>
    </row>
    <row r="13" spans="2:4" ht="12.75">
      <c r="B13" s="18" t="s">
        <v>42</v>
      </c>
      <c r="C13" s="110">
        <v>0.3</v>
      </c>
      <c r="D13" s="19"/>
    </row>
    <row r="14" spans="2:4" ht="12.75">
      <c r="B14" s="20" t="s">
        <v>44</v>
      </c>
      <c r="C14" s="120">
        <v>0.09</v>
      </c>
      <c r="D14" s="21" t="s">
        <v>50</v>
      </c>
    </row>
    <row r="16" spans="2:8" ht="18" customHeight="1">
      <c r="B16" s="314" t="s">
        <v>165</v>
      </c>
      <c r="C16" s="321"/>
      <c r="D16" s="321"/>
      <c r="E16" s="321"/>
      <c r="F16" s="321"/>
      <c r="G16" s="321"/>
      <c r="H16" s="322"/>
    </row>
    <row r="17" spans="2:8" ht="12.75">
      <c r="B17" s="24"/>
      <c r="C17" s="352" t="s">
        <v>150</v>
      </c>
      <c r="D17" s="352"/>
      <c r="E17" s="352"/>
      <c r="F17" s="352"/>
      <c r="G17" s="352"/>
      <c r="H17" s="353"/>
    </row>
    <row r="18" spans="2:8" ht="12.75">
      <c r="B18" s="18"/>
      <c r="C18" s="27">
        <v>0</v>
      </c>
      <c r="D18" s="27">
        <v>1</v>
      </c>
      <c r="E18" s="27">
        <v>2</v>
      </c>
      <c r="F18" s="27">
        <v>3</v>
      </c>
      <c r="G18" s="27">
        <v>4</v>
      </c>
      <c r="H18" s="28">
        <v>5</v>
      </c>
    </row>
    <row r="19" spans="2:8" ht="12.75">
      <c r="B19" s="18" t="s">
        <v>48</v>
      </c>
      <c r="C19" s="92"/>
      <c r="D19" s="177">
        <v>900000</v>
      </c>
      <c r="E19" s="177">
        <v>900000</v>
      </c>
      <c r="F19" s="177">
        <v>900000</v>
      </c>
      <c r="G19" s="177">
        <v>900000</v>
      </c>
      <c r="H19" s="178">
        <v>900000</v>
      </c>
    </row>
    <row r="20" spans="2:8" ht="12.75">
      <c r="B20" s="18" t="s">
        <v>49</v>
      </c>
      <c r="C20" s="46"/>
      <c r="D20" s="180">
        <f>-$C$12</f>
        <v>-372000</v>
      </c>
      <c r="E20" s="180">
        <f>-$C$12</f>
        <v>-372000</v>
      </c>
      <c r="F20" s="180">
        <f>-$C$12</f>
        <v>-372000</v>
      </c>
      <c r="G20" s="180">
        <f>-$C$12</f>
        <v>-372000</v>
      </c>
      <c r="H20" s="181">
        <f>-$C$12</f>
        <v>-372000</v>
      </c>
    </row>
    <row r="21" spans="2:8" ht="12.75">
      <c r="B21" s="18" t="s">
        <v>96</v>
      </c>
      <c r="C21" s="47"/>
      <c r="D21" s="182">
        <f>-$C$10</f>
        <v>-120000</v>
      </c>
      <c r="E21" s="182">
        <f>-$C$10</f>
        <v>-120000</v>
      </c>
      <c r="F21" s="182">
        <f>-$C$10</f>
        <v>-120000</v>
      </c>
      <c r="G21" s="182">
        <f>-$C$10</f>
        <v>-120000</v>
      </c>
      <c r="H21" s="183">
        <f>-$C$10</f>
        <v>-120000</v>
      </c>
    </row>
    <row r="22" spans="2:8" ht="12.75">
      <c r="B22" s="50" t="s">
        <v>100</v>
      </c>
      <c r="C22" s="29"/>
      <c r="D22" s="174">
        <f>D19+D20+D21</f>
        <v>408000</v>
      </c>
      <c r="E22" s="174">
        <f>E19+E20+E21</f>
        <v>408000</v>
      </c>
      <c r="F22" s="174">
        <f>F19+F20+F21</f>
        <v>408000</v>
      </c>
      <c r="G22" s="174">
        <f>G19+G20+G21</f>
        <v>408000</v>
      </c>
      <c r="H22" s="175">
        <f>H19+H20+H21</f>
        <v>408000</v>
      </c>
    </row>
    <row r="23" spans="2:8" ht="12.75">
      <c r="B23" s="18" t="s">
        <v>43</v>
      </c>
      <c r="C23" s="48"/>
      <c r="D23" s="184">
        <f>-$C$13*D22</f>
        <v>-122400</v>
      </c>
      <c r="E23" s="184">
        <f>-$C$13*E22</f>
        <v>-122400</v>
      </c>
      <c r="F23" s="184">
        <f>-$C$13*F22</f>
        <v>-122400</v>
      </c>
      <c r="G23" s="184">
        <f>-$C$13*G22</f>
        <v>-122400</v>
      </c>
      <c r="H23" s="185">
        <f>-$C$13*H22</f>
        <v>-122400</v>
      </c>
    </row>
    <row r="24" spans="2:8" ht="12.75">
      <c r="B24" s="50" t="s">
        <v>85</v>
      </c>
      <c r="C24" s="29"/>
      <c r="D24" s="174">
        <f>D22+D23</f>
        <v>285600</v>
      </c>
      <c r="E24" s="174">
        <f>E22+E23</f>
        <v>285600</v>
      </c>
      <c r="F24" s="174">
        <f>F22+F23</f>
        <v>285600</v>
      </c>
      <c r="G24" s="174">
        <f>G22+G23</f>
        <v>285600</v>
      </c>
      <c r="H24" s="175">
        <f>H22+H23</f>
        <v>285600</v>
      </c>
    </row>
    <row r="25" spans="2:8" ht="12.75">
      <c r="B25" s="18" t="s">
        <v>163</v>
      </c>
      <c r="C25" s="32"/>
      <c r="D25" s="154">
        <f>-D20</f>
        <v>372000</v>
      </c>
      <c r="E25" s="154">
        <f>-E20</f>
        <v>372000</v>
      </c>
      <c r="F25" s="154">
        <f>-F20</f>
        <v>372000</v>
      </c>
      <c r="G25" s="154">
        <f>-G20</f>
        <v>372000</v>
      </c>
      <c r="H25" s="158">
        <f>-H20</f>
        <v>372000</v>
      </c>
    </row>
    <row r="26" spans="2:8" ht="12.75">
      <c r="B26" s="18" t="s">
        <v>177</v>
      </c>
      <c r="C26" s="179">
        <f>C28</f>
        <v>-1860000</v>
      </c>
      <c r="D26" s="33">
        <f>-$C$9</f>
        <v>0</v>
      </c>
      <c r="E26" s="33">
        <f>-$C$9</f>
        <v>0</v>
      </c>
      <c r="F26" s="33">
        <f>-$C$9</f>
        <v>0</v>
      </c>
      <c r="G26" s="33">
        <f>-$C$9</f>
        <v>0</v>
      </c>
      <c r="H26" s="34">
        <f>-$C$9</f>
        <v>0</v>
      </c>
    </row>
    <row r="27" spans="2:8" ht="12.75">
      <c r="B27" s="18" t="s">
        <v>87</v>
      </c>
      <c r="C27" s="32"/>
      <c r="D27" s="32">
        <v>0</v>
      </c>
      <c r="E27" s="32">
        <v>0</v>
      </c>
      <c r="F27" s="32">
        <v>0</v>
      </c>
      <c r="G27" s="32">
        <v>0</v>
      </c>
      <c r="H27" s="35">
        <v>0</v>
      </c>
    </row>
    <row r="28" spans="2:8" ht="13.5" thickBot="1">
      <c r="B28" s="124" t="s">
        <v>51</v>
      </c>
      <c r="C28" s="155">
        <v>-1860000</v>
      </c>
      <c r="D28" s="155">
        <f>D24+D25+D26+D27</f>
        <v>657600</v>
      </c>
      <c r="E28" s="155">
        <f>E24+E25+E26+E27</f>
        <v>657600</v>
      </c>
      <c r="F28" s="155">
        <f>F24+F25+F26+F27</f>
        <v>657600</v>
      </c>
      <c r="G28" s="155">
        <f>G24+G25+G26+G27</f>
        <v>657600</v>
      </c>
      <c r="H28" s="176">
        <f>H24+H25+H26+H27</f>
        <v>657600</v>
      </c>
    </row>
    <row r="29" spans="2:8" ht="13.5" thickTop="1">
      <c r="B29" s="98"/>
      <c r="C29" s="39"/>
      <c r="D29" s="39"/>
      <c r="E29" s="39"/>
      <c r="F29" s="39"/>
      <c r="G29" s="39"/>
      <c r="H29" s="61"/>
    </row>
    <row r="30" spans="2:8" ht="12.75">
      <c r="B30" s="60" t="s">
        <v>72</v>
      </c>
      <c r="C30" s="156">
        <f>NPV(C14,D28:H28)+C28</f>
        <v>697834.6707800883</v>
      </c>
      <c r="D30" s="125"/>
      <c r="E30" s="125"/>
      <c r="F30" s="39"/>
      <c r="G30" s="39"/>
      <c r="H30" s="61"/>
    </row>
    <row r="31" spans="2:8" ht="12.75">
      <c r="B31" s="49" t="s">
        <v>73</v>
      </c>
      <c r="C31" s="188">
        <f>IRR(C28:H28)</f>
        <v>0.22580285618511456</v>
      </c>
      <c r="D31" s="45"/>
      <c r="E31" s="45"/>
      <c r="F31" s="36"/>
      <c r="G31" s="36"/>
      <c r="H31" s="21"/>
    </row>
  </sheetData>
  <sheetProtection/>
  <mergeCells count="9">
    <mergeCell ref="C17:H17"/>
    <mergeCell ref="B2:H2"/>
    <mergeCell ref="B4:D4"/>
    <mergeCell ref="B16:H16"/>
    <mergeCell ref="F4:J4"/>
    <mergeCell ref="G5:J5"/>
    <mergeCell ref="G8:J8"/>
    <mergeCell ref="G9:J9"/>
    <mergeCell ref="G10:J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C12" sqref="C12"/>
    </sheetView>
  </sheetViews>
  <sheetFormatPr defaultColWidth="8.75390625" defaultRowHeight="12.75"/>
  <cols>
    <col min="1" max="1" width="2.875" style="1" customWidth="1"/>
    <col min="2" max="2" width="32.125" style="1" customWidth="1"/>
    <col min="3" max="3" width="11.00390625" style="1" bestFit="1" customWidth="1"/>
    <col min="4" max="8" width="12.75390625" style="1" bestFit="1" customWidth="1"/>
    <col min="9" max="16384" width="8.75390625" style="1" customWidth="1"/>
  </cols>
  <sheetData>
    <row r="2" spans="2:8" s="44" customFormat="1" ht="36" customHeight="1">
      <c r="B2" s="336" t="s">
        <v>67</v>
      </c>
      <c r="C2" s="356"/>
      <c r="D2" s="356"/>
      <c r="E2" s="356"/>
      <c r="F2" s="356"/>
      <c r="G2" s="356"/>
      <c r="H2" s="356"/>
    </row>
    <row r="3" spans="2:3" ht="13.5" thickBot="1">
      <c r="B3" s="56"/>
      <c r="C3" s="53"/>
    </row>
    <row r="4" spans="2:9" ht="18" customHeight="1" thickTop="1">
      <c r="B4" s="314" t="s">
        <v>164</v>
      </c>
      <c r="C4" s="316"/>
      <c r="E4" s="311" t="s">
        <v>25</v>
      </c>
      <c r="F4" s="312"/>
      <c r="G4" s="312"/>
      <c r="H4" s="312"/>
      <c r="I4" s="313"/>
    </row>
    <row r="5" spans="2:9" ht="12.75">
      <c r="B5" s="4" t="s">
        <v>101</v>
      </c>
      <c r="C5" s="128">
        <v>-55000</v>
      </c>
      <c r="E5" s="238"/>
      <c r="F5" s="350" t="s">
        <v>26</v>
      </c>
      <c r="G5" s="350"/>
      <c r="H5" s="350"/>
      <c r="I5" s="351"/>
    </row>
    <row r="6" spans="2:9" ht="12.75">
      <c r="B6" s="4" t="s">
        <v>103</v>
      </c>
      <c r="C6" s="128">
        <v>-10000</v>
      </c>
      <c r="E6" s="240"/>
      <c r="F6" s="235" t="s">
        <v>27</v>
      </c>
      <c r="G6" s="247"/>
      <c r="H6" s="237"/>
      <c r="I6" s="239"/>
    </row>
    <row r="7" spans="2:9" ht="12.75">
      <c r="B7" s="4" t="s">
        <v>52</v>
      </c>
      <c r="C7" s="129">
        <v>25</v>
      </c>
      <c r="E7" s="241"/>
      <c r="F7" s="236" t="s">
        <v>28</v>
      </c>
      <c r="G7" s="236"/>
      <c r="H7" s="236"/>
      <c r="I7" s="242"/>
    </row>
    <row r="8" spans="2:9" ht="12.75">
      <c r="B8" s="4" t="s">
        <v>53</v>
      </c>
      <c r="C8" s="130">
        <v>0.3</v>
      </c>
      <c r="E8" s="243"/>
      <c r="F8" s="278" t="s">
        <v>29</v>
      </c>
      <c r="G8" s="278"/>
      <c r="H8" s="278"/>
      <c r="I8" s="279"/>
    </row>
    <row r="9" spans="2:9" ht="12.75">
      <c r="B9" s="4" t="s">
        <v>44</v>
      </c>
      <c r="C9" s="130">
        <v>0.09</v>
      </c>
      <c r="E9" s="244"/>
      <c r="F9" s="278" t="s">
        <v>30</v>
      </c>
      <c r="G9" s="278"/>
      <c r="H9" s="278"/>
      <c r="I9" s="279"/>
    </row>
    <row r="10" spans="2:9" ht="26.25" thickBot="1">
      <c r="B10" s="4" t="s">
        <v>102</v>
      </c>
      <c r="C10" s="128">
        <v>15000</v>
      </c>
      <c r="E10" s="245"/>
      <c r="F10" s="304" t="s">
        <v>31</v>
      </c>
      <c r="G10" s="304"/>
      <c r="H10" s="304"/>
      <c r="I10" s="305"/>
    </row>
    <row r="11" spans="2:3" ht="26.25" thickTop="1">
      <c r="B11" s="4" t="s">
        <v>104</v>
      </c>
      <c r="C11" s="131">
        <v>0.25</v>
      </c>
    </row>
    <row r="12" spans="2:3" ht="12.75">
      <c r="B12" s="132" t="s">
        <v>105</v>
      </c>
      <c r="C12" s="133">
        <v>6000</v>
      </c>
    </row>
    <row r="14" spans="2:8" ht="18" customHeight="1">
      <c r="B14" s="314" t="s">
        <v>165</v>
      </c>
      <c r="C14" s="357"/>
      <c r="D14" s="357"/>
      <c r="E14" s="357"/>
      <c r="F14" s="357"/>
      <c r="G14" s="357"/>
      <c r="H14" s="358"/>
    </row>
    <row r="15" spans="2:8" ht="12.75">
      <c r="B15" s="18"/>
      <c r="C15" s="352" t="s">
        <v>150</v>
      </c>
      <c r="D15" s="359"/>
      <c r="E15" s="359"/>
      <c r="F15" s="359"/>
      <c r="G15" s="359"/>
      <c r="H15" s="360"/>
    </row>
    <row r="16" spans="2:8" ht="12.75">
      <c r="B16" s="24" t="s">
        <v>150</v>
      </c>
      <c r="C16" s="27">
        <v>0</v>
      </c>
      <c r="D16" s="27">
        <v>1</v>
      </c>
      <c r="E16" s="27">
        <v>2</v>
      </c>
      <c r="F16" s="27">
        <v>3</v>
      </c>
      <c r="G16" s="27">
        <v>4</v>
      </c>
      <c r="H16" s="28">
        <v>5</v>
      </c>
    </row>
    <row r="17" spans="2:8" ht="12.75">
      <c r="B17" s="18" t="s">
        <v>151</v>
      </c>
      <c r="C17" s="29"/>
      <c r="D17" s="156">
        <f>$C$12*$C$11*$C$7</f>
        <v>37500</v>
      </c>
      <c r="E17" s="156">
        <f>$C$12*$C$11*$C$7</f>
        <v>37500</v>
      </c>
      <c r="F17" s="156">
        <f>$C$12*$C$11*$C$7</f>
        <v>37500</v>
      </c>
      <c r="G17" s="156">
        <f>$C$12*$C$11*$C$7</f>
        <v>37500</v>
      </c>
      <c r="H17" s="189">
        <f>$C$12*$C$11*$C$7</f>
        <v>37500</v>
      </c>
    </row>
    <row r="18" spans="2:8" ht="12.75">
      <c r="B18" s="18" t="s">
        <v>155</v>
      </c>
      <c r="C18" s="48"/>
      <c r="D18" s="190">
        <v>-15000</v>
      </c>
      <c r="E18" s="190">
        <v>-15000</v>
      </c>
      <c r="F18" s="190">
        <v>-15000</v>
      </c>
      <c r="G18" s="190">
        <v>-15000</v>
      </c>
      <c r="H18" s="191">
        <v>-15000</v>
      </c>
    </row>
    <row r="19" spans="2:8" ht="12.75">
      <c r="B19" s="50" t="s">
        <v>84</v>
      </c>
      <c r="C19" s="32"/>
      <c r="D19" s="193">
        <f>D17+D18</f>
        <v>22500</v>
      </c>
      <c r="E19" s="193">
        <f>E17+E18</f>
        <v>22500</v>
      </c>
      <c r="F19" s="193">
        <f>F17+F18</f>
        <v>22500</v>
      </c>
      <c r="G19" s="193">
        <f>G17+G18</f>
        <v>22500</v>
      </c>
      <c r="H19" s="194">
        <f>H17+H18</f>
        <v>22500</v>
      </c>
    </row>
    <row r="20" spans="2:8" ht="12.75">
      <c r="B20" s="18" t="s">
        <v>137</v>
      </c>
      <c r="C20" s="48"/>
      <c r="D20" s="195">
        <f>-$C$8*D19</f>
        <v>-6750</v>
      </c>
      <c r="E20" s="195">
        <f>-$C$8*E19</f>
        <v>-6750</v>
      </c>
      <c r="F20" s="195">
        <f>-$C$8*F19</f>
        <v>-6750</v>
      </c>
      <c r="G20" s="195">
        <f>-$C$8*G19</f>
        <v>-6750</v>
      </c>
      <c r="H20" s="196">
        <f>-$C$8*H19</f>
        <v>-6750</v>
      </c>
    </row>
    <row r="21" spans="2:8" ht="12.75">
      <c r="B21" s="50" t="s">
        <v>85</v>
      </c>
      <c r="C21" s="32"/>
      <c r="D21" s="193">
        <f>D19+D20</f>
        <v>15750</v>
      </c>
      <c r="E21" s="193">
        <f>E19+E20</f>
        <v>15750</v>
      </c>
      <c r="F21" s="193">
        <f>F19+F20</f>
        <v>15750</v>
      </c>
      <c r="G21" s="193">
        <f>G19+G20</f>
        <v>15750</v>
      </c>
      <c r="H21" s="194">
        <f>H19+H20</f>
        <v>15750</v>
      </c>
    </row>
    <row r="22" spans="2:8" ht="12.75">
      <c r="B22" s="18" t="s">
        <v>138</v>
      </c>
      <c r="C22" s="32"/>
      <c r="D22" s="117">
        <v>0</v>
      </c>
      <c r="E22" s="117">
        <v>0</v>
      </c>
      <c r="F22" s="117">
        <v>0</v>
      </c>
      <c r="G22" s="117">
        <v>0</v>
      </c>
      <c r="H22" s="118">
        <v>0</v>
      </c>
    </row>
    <row r="23" spans="2:8" ht="12.75">
      <c r="B23" s="18" t="s">
        <v>139</v>
      </c>
      <c r="C23" s="192">
        <f>C5+C6</f>
        <v>-65000</v>
      </c>
      <c r="D23" s="117">
        <v>0</v>
      </c>
      <c r="E23" s="117">
        <v>0</v>
      </c>
      <c r="F23" s="117">
        <v>0</v>
      </c>
      <c r="G23" s="117">
        <v>0</v>
      </c>
      <c r="H23" s="118">
        <v>0</v>
      </c>
    </row>
    <row r="24" spans="2:8" ht="13.5" thickBot="1">
      <c r="B24" s="122" t="s">
        <v>152</v>
      </c>
      <c r="C24" s="197">
        <f>C23</f>
        <v>-65000</v>
      </c>
      <c r="D24" s="197">
        <f>D21+D22-D23</f>
        <v>15750</v>
      </c>
      <c r="E24" s="197">
        <f>E21+E22-E23</f>
        <v>15750</v>
      </c>
      <c r="F24" s="197">
        <f>F21+F22-F23</f>
        <v>15750</v>
      </c>
      <c r="G24" s="197">
        <f>G21+G22-G23</f>
        <v>15750</v>
      </c>
      <c r="H24" s="198">
        <f>H21+H22-H23</f>
        <v>15750</v>
      </c>
    </row>
    <row r="25" spans="2:8" ht="13.5" thickTop="1">
      <c r="B25" s="18"/>
      <c r="C25" s="2"/>
      <c r="D25" s="2"/>
      <c r="E25" s="2"/>
      <c r="F25" s="2"/>
      <c r="G25" s="2"/>
      <c r="H25" s="19"/>
    </row>
    <row r="26" spans="2:8" ht="12.75">
      <c r="B26" s="60" t="s">
        <v>127</v>
      </c>
      <c r="C26" s="193">
        <f>NPV(C9,D24:H24)+C24</f>
        <v>-3737.99260221047</v>
      </c>
      <c r="D26" s="39"/>
      <c r="E26" s="39"/>
      <c r="F26" s="39"/>
      <c r="G26" s="39"/>
      <c r="H26" s="61"/>
    </row>
    <row r="27" spans="2:8" ht="12.75">
      <c r="B27" s="60" t="s">
        <v>128</v>
      </c>
      <c r="C27" s="231">
        <f>IRR(C24:H24)</f>
        <v>0.06757265802520905</v>
      </c>
      <c r="D27" s="39"/>
      <c r="E27" s="39"/>
      <c r="F27" s="39"/>
      <c r="G27" s="39"/>
      <c r="H27" s="61"/>
    </row>
    <row r="28" spans="2:8" ht="12.75">
      <c r="B28" s="62" t="s">
        <v>153</v>
      </c>
      <c r="C28" s="232">
        <f>-C24/D24</f>
        <v>4.126984126984127</v>
      </c>
      <c r="D28" s="63"/>
      <c r="E28" s="63"/>
      <c r="F28" s="63"/>
      <c r="G28" s="63"/>
      <c r="H28" s="64"/>
    </row>
    <row r="38" ht="12" customHeight="1"/>
    <row r="39" s="55" customFormat="1" ht="12" customHeight="1">
      <c r="B39" s="54"/>
    </row>
    <row r="42" spans="3:8" ht="12.75">
      <c r="C42" s="43"/>
      <c r="D42" s="43"/>
      <c r="E42" s="43"/>
      <c r="F42" s="43"/>
      <c r="G42" s="43"/>
      <c r="H42" s="43"/>
    </row>
    <row r="43" spans="3:8" ht="12.75">
      <c r="C43" s="43"/>
      <c r="D43" s="43"/>
      <c r="E43" s="43"/>
      <c r="F43" s="43"/>
      <c r="G43" s="43"/>
      <c r="H43" s="43"/>
    </row>
    <row r="44" spans="3:8" ht="12.75">
      <c r="C44" s="43"/>
      <c r="D44" s="43"/>
      <c r="E44" s="43"/>
      <c r="F44" s="43"/>
      <c r="G44" s="43"/>
      <c r="H44" s="43"/>
    </row>
  </sheetData>
  <sheetProtection/>
  <mergeCells count="9">
    <mergeCell ref="B2:H2"/>
    <mergeCell ref="B4:C4"/>
    <mergeCell ref="B14:H14"/>
    <mergeCell ref="C15:H15"/>
    <mergeCell ref="E4:I4"/>
    <mergeCell ref="F5:I5"/>
    <mergeCell ref="F8:I8"/>
    <mergeCell ref="F9:I9"/>
    <mergeCell ref="F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1"/>
  <sheetViews>
    <sheetView zoomScalePageLayoutView="0" workbookViewId="0" topLeftCell="A1">
      <selection activeCell="B69" sqref="B69:H69"/>
    </sheetView>
  </sheetViews>
  <sheetFormatPr defaultColWidth="8.75390625" defaultRowHeight="12" customHeight="1"/>
  <cols>
    <col min="1" max="1" width="2.625" style="44" customWidth="1"/>
    <col min="2" max="2" width="26.75390625" style="44" customWidth="1"/>
    <col min="3" max="3" width="15.375" style="44" bestFit="1" customWidth="1"/>
    <col min="4" max="5" width="13.375" style="44" bestFit="1" customWidth="1"/>
    <col min="6" max="6" width="14.375" style="44" bestFit="1" customWidth="1"/>
    <col min="7" max="7" width="13.75390625" style="44" bestFit="1" customWidth="1"/>
    <col min="8" max="8" width="14.375" style="44" bestFit="1" customWidth="1"/>
    <col min="9" max="9" width="8.75390625" style="44" customWidth="1"/>
    <col min="10" max="10" width="18.125" style="44" customWidth="1"/>
    <col min="11" max="16384" width="8.75390625" style="44" customWidth="1"/>
  </cols>
  <sheetData>
    <row r="2" spans="2:8" s="3" customFormat="1" ht="36" customHeight="1">
      <c r="B2" s="309" t="s">
        <v>68</v>
      </c>
      <c r="C2" s="361"/>
      <c r="D2" s="361"/>
      <c r="E2" s="361"/>
      <c r="F2" s="361"/>
      <c r="G2" s="361"/>
      <c r="H2" s="361"/>
    </row>
    <row r="3" spans="2:8" s="66" customFormat="1" ht="12" customHeight="1" thickBot="1">
      <c r="B3" s="67"/>
      <c r="C3" s="68"/>
      <c r="D3" s="68"/>
      <c r="E3" s="68"/>
      <c r="F3" s="68"/>
      <c r="G3" s="68"/>
      <c r="H3" s="68"/>
    </row>
    <row r="4" spans="2:10" s="75" customFormat="1" ht="18" customHeight="1" thickTop="1">
      <c r="B4" s="314" t="s">
        <v>164</v>
      </c>
      <c r="C4" s="315"/>
      <c r="D4" s="316"/>
      <c r="F4" s="311" t="s">
        <v>25</v>
      </c>
      <c r="G4" s="312"/>
      <c r="H4" s="312"/>
      <c r="I4" s="312"/>
      <c r="J4" s="313"/>
    </row>
    <row r="5" spans="2:10" ht="12" customHeight="1">
      <c r="B5" s="71" t="s">
        <v>111</v>
      </c>
      <c r="C5" s="152">
        <v>-600000</v>
      </c>
      <c r="D5" s="72"/>
      <c r="E5" s="69"/>
      <c r="F5" s="238"/>
      <c r="G5" s="350" t="s">
        <v>26</v>
      </c>
      <c r="H5" s="350"/>
      <c r="I5" s="350"/>
      <c r="J5" s="351"/>
    </row>
    <row r="6" spans="2:10" ht="12" customHeight="1">
      <c r="B6" s="71" t="s">
        <v>106</v>
      </c>
      <c r="C6" s="134">
        <v>5</v>
      </c>
      <c r="D6" s="72" t="s">
        <v>71</v>
      </c>
      <c r="E6" s="69"/>
      <c r="F6" s="240"/>
      <c r="G6" s="235" t="s">
        <v>27</v>
      </c>
      <c r="H6" s="247"/>
      <c r="I6" s="237"/>
      <c r="J6" s="239"/>
    </row>
    <row r="7" spans="2:10" ht="12" customHeight="1">
      <c r="B7" s="71" t="s">
        <v>109</v>
      </c>
      <c r="C7" s="134">
        <v>100000</v>
      </c>
      <c r="D7" s="72"/>
      <c r="E7" s="69"/>
      <c r="F7" s="241"/>
      <c r="G7" s="236" t="s">
        <v>28</v>
      </c>
      <c r="H7" s="236"/>
      <c r="I7" s="236"/>
      <c r="J7" s="242"/>
    </row>
    <row r="8" spans="2:10" ht="12" customHeight="1">
      <c r="B8" s="71" t="s">
        <v>108</v>
      </c>
      <c r="C8" s="135">
        <v>1.5</v>
      </c>
      <c r="D8" s="72"/>
      <c r="E8" s="69"/>
      <c r="F8" s="243"/>
      <c r="G8" s="278" t="s">
        <v>29</v>
      </c>
      <c r="H8" s="278"/>
      <c r="I8" s="278"/>
      <c r="J8" s="279"/>
    </row>
    <row r="9" spans="2:10" ht="12" customHeight="1">
      <c r="B9" s="71" t="s">
        <v>110</v>
      </c>
      <c r="C9" s="136">
        <v>0.25</v>
      </c>
      <c r="D9" s="72"/>
      <c r="E9" s="69"/>
      <c r="F9" s="244"/>
      <c r="G9" s="278" t="s">
        <v>30</v>
      </c>
      <c r="H9" s="278"/>
      <c r="I9" s="278"/>
      <c r="J9" s="279"/>
    </row>
    <row r="10" spans="2:10" ht="12" customHeight="1" thickBot="1">
      <c r="B10" s="71" t="s">
        <v>53</v>
      </c>
      <c r="C10" s="136">
        <v>0.3</v>
      </c>
      <c r="D10" s="72"/>
      <c r="E10" s="69"/>
      <c r="F10" s="245"/>
      <c r="G10" s="304" t="s">
        <v>31</v>
      </c>
      <c r="H10" s="304"/>
      <c r="I10" s="304"/>
      <c r="J10" s="305"/>
    </row>
    <row r="11" spans="2:10" ht="12" customHeight="1" thickTop="1">
      <c r="B11" s="71" t="s">
        <v>186</v>
      </c>
      <c r="C11" s="276">
        <v>0.2</v>
      </c>
      <c r="D11" s="72"/>
      <c r="E11" s="69"/>
      <c r="F11" s="39"/>
      <c r="G11" s="236"/>
      <c r="H11" s="236"/>
      <c r="I11" s="236"/>
      <c r="J11" s="236"/>
    </row>
    <row r="12" spans="2:8" ht="12" customHeight="1">
      <c r="B12" s="73" t="s">
        <v>156</v>
      </c>
      <c r="C12" s="137">
        <v>0.15</v>
      </c>
      <c r="D12" s="74"/>
      <c r="E12" s="69"/>
      <c r="F12" s="69"/>
      <c r="G12" s="69"/>
      <c r="H12" s="69"/>
    </row>
    <row r="13" spans="3:8" ht="12" customHeight="1">
      <c r="C13" s="69"/>
      <c r="D13" s="69"/>
      <c r="E13" s="69"/>
      <c r="F13" s="69"/>
      <c r="G13" s="69"/>
      <c r="H13" s="69"/>
    </row>
    <row r="14" spans="2:8" ht="18" customHeight="1">
      <c r="B14" s="314" t="s">
        <v>179</v>
      </c>
      <c r="C14" s="363"/>
      <c r="D14" s="363"/>
      <c r="E14" s="363"/>
      <c r="F14" s="363"/>
      <c r="G14" s="363"/>
      <c r="H14" s="364"/>
    </row>
    <row r="15" spans="2:8" ht="12" customHeight="1">
      <c r="B15" s="71"/>
      <c r="C15" s="352" t="s">
        <v>150</v>
      </c>
      <c r="D15" s="362"/>
      <c r="E15" s="362"/>
      <c r="F15" s="362"/>
      <c r="G15" s="362"/>
      <c r="H15" s="360"/>
    </row>
    <row r="16" spans="2:8" ht="12" customHeight="1">
      <c r="B16" s="79"/>
      <c r="C16" s="77">
        <v>0</v>
      </c>
      <c r="D16" s="77">
        <v>1</v>
      </c>
      <c r="E16" s="77">
        <v>2</v>
      </c>
      <c r="F16" s="77">
        <v>3</v>
      </c>
      <c r="G16" s="77">
        <v>4</v>
      </c>
      <c r="H16" s="80">
        <v>5</v>
      </c>
    </row>
    <row r="17" spans="2:8" ht="12" customHeight="1">
      <c r="B17" s="71" t="s">
        <v>107</v>
      </c>
      <c r="C17" s="81"/>
      <c r="D17" s="199">
        <f>C7</f>
        <v>100000</v>
      </c>
      <c r="E17" s="199">
        <f>D17*(1+$C$9)</f>
        <v>125000</v>
      </c>
      <c r="F17" s="199">
        <f>E17*(1+$C$9)</f>
        <v>156250</v>
      </c>
      <c r="G17" s="199">
        <f>F17*(1+$C$9)</f>
        <v>195312.5</v>
      </c>
      <c r="H17" s="200">
        <f>G17*(1+$C$9)</f>
        <v>244140.625</v>
      </c>
    </row>
    <row r="18" spans="2:8" ht="12" customHeight="1">
      <c r="B18" s="71" t="s">
        <v>16</v>
      </c>
      <c r="C18" s="82"/>
      <c r="D18" s="201">
        <f>D17*$C$8</f>
        <v>150000</v>
      </c>
      <c r="E18" s="201">
        <f>E17*$C$8</f>
        <v>187500</v>
      </c>
      <c r="F18" s="201">
        <f>F17*$C$8</f>
        <v>234375</v>
      </c>
      <c r="G18" s="201">
        <f>G17*$C$8</f>
        <v>292968.75</v>
      </c>
      <c r="H18" s="202">
        <f>H17*$C$8</f>
        <v>366210.9375</v>
      </c>
    </row>
    <row r="19" spans="2:8" ht="12" customHeight="1">
      <c r="B19" s="71" t="s">
        <v>81</v>
      </c>
      <c r="C19" s="81"/>
      <c r="D19" s="203">
        <f>$C$5/$C$6</f>
        <v>-120000</v>
      </c>
      <c r="E19" s="203">
        <f>$C$5/$C$6</f>
        <v>-120000</v>
      </c>
      <c r="F19" s="203">
        <f>$C$5/$C$6</f>
        <v>-120000</v>
      </c>
      <c r="G19" s="203">
        <f>$C$5/$C$6</f>
        <v>-120000</v>
      </c>
      <c r="H19" s="204">
        <f>$C$5/$C$6</f>
        <v>-120000</v>
      </c>
    </row>
    <row r="20" spans="2:8" ht="12" customHeight="1">
      <c r="B20" s="147" t="s">
        <v>84</v>
      </c>
      <c r="C20" s="81"/>
      <c r="D20" s="201">
        <f>D18+D19</f>
        <v>30000</v>
      </c>
      <c r="E20" s="201">
        <f>E18+E19</f>
        <v>67500</v>
      </c>
      <c r="F20" s="201">
        <f>F18+F19</f>
        <v>114375</v>
      </c>
      <c r="G20" s="201">
        <f>G18+G19</f>
        <v>172968.75</v>
      </c>
      <c r="H20" s="202">
        <f>H18+H19</f>
        <v>246210.9375</v>
      </c>
    </row>
    <row r="21" spans="2:8" ht="12" customHeight="1">
      <c r="B21" s="71" t="s">
        <v>137</v>
      </c>
      <c r="C21" s="81"/>
      <c r="D21" s="203">
        <f>-$C$10*D20</f>
        <v>-9000</v>
      </c>
      <c r="E21" s="203">
        <f>-$C$10*E20</f>
        <v>-20250</v>
      </c>
      <c r="F21" s="203">
        <f>-$C$10*F20</f>
        <v>-34312.5</v>
      </c>
      <c r="G21" s="203">
        <f>-$C$10*G20</f>
        <v>-51890.625</v>
      </c>
      <c r="H21" s="204">
        <f>-$C$10*H20</f>
        <v>-73863.28125</v>
      </c>
    </row>
    <row r="22" spans="2:8" ht="12" customHeight="1">
      <c r="B22" s="83" t="s">
        <v>85</v>
      </c>
      <c r="C22" s="81"/>
      <c r="D22" s="201">
        <f>D20+D21</f>
        <v>21000</v>
      </c>
      <c r="E22" s="201">
        <v>47250</v>
      </c>
      <c r="F22" s="201">
        <v>80062.5</v>
      </c>
      <c r="G22" s="201">
        <v>121078.125</v>
      </c>
      <c r="H22" s="202">
        <v>172347.65625</v>
      </c>
    </row>
    <row r="23" spans="2:8" ht="12" customHeight="1">
      <c r="B23" s="71" t="s">
        <v>142</v>
      </c>
      <c r="C23" s="81"/>
      <c r="D23" s="199">
        <f>-D19</f>
        <v>120000</v>
      </c>
      <c r="E23" s="199">
        <f>-E19</f>
        <v>120000</v>
      </c>
      <c r="F23" s="199">
        <f>-F19</f>
        <v>120000</v>
      </c>
      <c r="G23" s="199">
        <f>-G19</f>
        <v>120000</v>
      </c>
      <c r="H23" s="200">
        <f>-H19</f>
        <v>120000</v>
      </c>
    </row>
    <row r="24" spans="2:8" ht="12" customHeight="1">
      <c r="B24" s="71" t="s">
        <v>177</v>
      </c>
      <c r="C24" s="199">
        <f>C5</f>
        <v>-600000</v>
      </c>
      <c r="D24" s="205">
        <v>0</v>
      </c>
      <c r="E24" s="205">
        <v>0</v>
      </c>
      <c r="F24" s="205">
        <v>0</v>
      </c>
      <c r="G24" s="205">
        <v>0</v>
      </c>
      <c r="H24" s="206">
        <v>0</v>
      </c>
    </row>
    <row r="25" spans="2:8" ht="12" customHeight="1" thickBot="1">
      <c r="B25" s="138" t="s">
        <v>154</v>
      </c>
      <c r="C25" s="207">
        <v>-600000</v>
      </c>
      <c r="D25" s="207">
        <f>D22+D23-D24</f>
        <v>141000</v>
      </c>
      <c r="E25" s="207">
        <f>E22+E23-E24</f>
        <v>167250</v>
      </c>
      <c r="F25" s="207">
        <f>F22+F23-F24</f>
        <v>200062.5</v>
      </c>
      <c r="G25" s="207">
        <f>G22+G23-G24</f>
        <v>241078.125</v>
      </c>
      <c r="H25" s="208">
        <f>H22+H23-H24</f>
        <v>292347.65625</v>
      </c>
    </row>
    <row r="26" spans="2:8" ht="12" customHeight="1" thickTop="1">
      <c r="B26" s="138"/>
      <c r="C26" s="273"/>
      <c r="D26" s="273"/>
      <c r="E26" s="273"/>
      <c r="F26" s="273"/>
      <c r="G26" s="273"/>
      <c r="H26" s="274"/>
    </row>
    <row r="27" spans="2:8" ht="12" customHeight="1">
      <c r="B27" s="314" t="s">
        <v>180</v>
      </c>
      <c r="C27" s="363"/>
      <c r="D27" s="363"/>
      <c r="E27" s="363"/>
      <c r="F27" s="363"/>
      <c r="G27" s="363"/>
      <c r="H27" s="364"/>
    </row>
    <row r="28" spans="2:8" ht="12" customHeight="1">
      <c r="B28" s="71"/>
      <c r="C28" s="78"/>
      <c r="D28" s="78"/>
      <c r="E28" s="78"/>
      <c r="F28" s="78"/>
      <c r="G28" s="78"/>
      <c r="H28" s="72"/>
    </row>
    <row r="29" spans="2:8" ht="12" customHeight="1">
      <c r="B29" s="84" t="s">
        <v>127</v>
      </c>
      <c r="C29" s="209">
        <f>NPV(C12,D25:H25)+C25</f>
        <v>63803.71897520078</v>
      </c>
      <c r="D29" s="70"/>
      <c r="E29" s="78"/>
      <c r="F29" s="78"/>
      <c r="G29" s="78"/>
      <c r="H29" s="72"/>
    </row>
    <row r="30" spans="2:8" ht="12" customHeight="1">
      <c r="B30" s="84" t="s">
        <v>128</v>
      </c>
      <c r="C30" s="210">
        <f>IRR(C25:H25)</f>
        <v>0.18871053140630262</v>
      </c>
      <c r="D30" s="70"/>
      <c r="E30" s="78"/>
      <c r="F30" s="78"/>
      <c r="G30" s="78"/>
      <c r="H30" s="72"/>
    </row>
    <row r="31" spans="2:8" ht="12" customHeight="1">
      <c r="B31" s="71"/>
      <c r="C31" s="78"/>
      <c r="D31" s="78"/>
      <c r="E31" s="78"/>
      <c r="F31" s="78"/>
      <c r="G31" s="78"/>
      <c r="H31" s="72"/>
    </row>
    <row r="32" spans="2:8" ht="12" customHeight="1">
      <c r="B32" s="314" t="s">
        <v>181</v>
      </c>
      <c r="C32" s="363"/>
      <c r="D32" s="363"/>
      <c r="E32" s="363"/>
      <c r="F32" s="363"/>
      <c r="G32" s="363"/>
      <c r="H32" s="364"/>
    </row>
    <row r="33" spans="2:8" ht="12" customHeight="1">
      <c r="B33" s="71"/>
      <c r="C33" s="78"/>
      <c r="D33" s="78"/>
      <c r="E33" s="78"/>
      <c r="F33" s="78"/>
      <c r="G33" s="78"/>
      <c r="H33" s="72"/>
    </row>
    <row r="34" spans="2:8" ht="12" customHeight="1">
      <c r="B34" s="71"/>
      <c r="C34" s="78"/>
      <c r="D34" s="78"/>
      <c r="E34" s="78"/>
      <c r="F34" s="78"/>
      <c r="G34" s="78"/>
      <c r="H34" s="72"/>
    </row>
    <row r="35" spans="2:8" ht="12" customHeight="1">
      <c r="B35" s="84"/>
      <c r="C35" s="352" t="s">
        <v>150</v>
      </c>
      <c r="D35" s="362"/>
      <c r="E35" s="362"/>
      <c r="F35" s="362"/>
      <c r="G35" s="362"/>
      <c r="H35" s="360"/>
    </row>
    <row r="36" spans="2:8" ht="12" customHeight="1">
      <c r="B36" s="79"/>
      <c r="C36" s="77">
        <v>0</v>
      </c>
      <c r="D36" s="77">
        <v>1</v>
      </c>
      <c r="E36" s="77">
        <v>2</v>
      </c>
      <c r="F36" s="77">
        <v>3</v>
      </c>
      <c r="G36" s="77">
        <v>4</v>
      </c>
      <c r="H36" s="80">
        <v>5</v>
      </c>
    </row>
    <row r="37" spans="2:8" ht="12" customHeight="1">
      <c r="B37" s="71" t="s">
        <v>107</v>
      </c>
      <c r="C37" s="81"/>
      <c r="D37" s="211">
        <f>75000</f>
        <v>75000</v>
      </c>
      <c r="E37" s="199">
        <f>D37*(1+$C$9)</f>
        <v>93750</v>
      </c>
      <c r="F37" s="199">
        <f>E37*(1+$C$9)</f>
        <v>117187.5</v>
      </c>
      <c r="G37" s="199">
        <f>F37*(1+$C$9)</f>
        <v>146484.375</v>
      </c>
      <c r="H37" s="200">
        <f>G37*(1+$C$9)</f>
        <v>183105.46875</v>
      </c>
    </row>
    <row r="38" spans="2:8" ht="12" customHeight="1">
      <c r="B38" s="71" t="s">
        <v>16</v>
      </c>
      <c r="C38" s="82"/>
      <c r="D38" s="201">
        <f>D37*$C$8</f>
        <v>112500</v>
      </c>
      <c r="E38" s="201">
        <f>E37*$C$8</f>
        <v>140625</v>
      </c>
      <c r="F38" s="201">
        <f>F37*$C$8</f>
        <v>175781.25</v>
      </c>
      <c r="G38" s="201">
        <f>G37*$C$8</f>
        <v>219726.5625</v>
      </c>
      <c r="H38" s="202">
        <f>H37*$C$8</f>
        <v>274658.203125</v>
      </c>
    </row>
    <row r="39" spans="2:8" ht="12" customHeight="1">
      <c r="B39" s="71" t="s">
        <v>81</v>
      </c>
      <c r="C39" s="81"/>
      <c r="D39" s="203">
        <f>$C$5/$C$6</f>
        <v>-120000</v>
      </c>
      <c r="E39" s="203">
        <f>$C$5/$C$6</f>
        <v>-120000</v>
      </c>
      <c r="F39" s="203">
        <f>$C$5/$C$6</f>
        <v>-120000</v>
      </c>
      <c r="G39" s="203">
        <f>$C$5/$C$6</f>
        <v>-120000</v>
      </c>
      <c r="H39" s="204">
        <f>$C$5/$C$6</f>
        <v>-120000</v>
      </c>
    </row>
    <row r="40" spans="2:8" ht="12" customHeight="1">
      <c r="B40" s="50" t="s">
        <v>84</v>
      </c>
      <c r="C40" s="81"/>
      <c r="D40" s="201">
        <f>D38+D39</f>
        <v>-7500</v>
      </c>
      <c r="E40" s="201">
        <f>E38+E39</f>
        <v>20625</v>
      </c>
      <c r="F40" s="201">
        <f>F38+F39</f>
        <v>55781.25</v>
      </c>
      <c r="G40" s="201">
        <f>G38+G39</f>
        <v>99726.5625</v>
      </c>
      <c r="H40" s="202">
        <f>H38+H39</f>
        <v>154658.203125</v>
      </c>
    </row>
    <row r="41" spans="2:8" ht="12" customHeight="1">
      <c r="B41" s="71" t="s">
        <v>137</v>
      </c>
      <c r="C41" s="81"/>
      <c r="D41" s="203">
        <f>-$C$10*D40</f>
        <v>2250</v>
      </c>
      <c r="E41" s="203">
        <f>-$C$10*E40</f>
        <v>-6187.5</v>
      </c>
      <c r="F41" s="203">
        <f>-$C$10*F40</f>
        <v>-16734.375</v>
      </c>
      <c r="G41" s="203">
        <f>-$C$10*G40</f>
        <v>-29917.96875</v>
      </c>
      <c r="H41" s="204">
        <f>-$C$10*H40</f>
        <v>-46397.4609375</v>
      </c>
    </row>
    <row r="42" spans="2:8" ht="12" customHeight="1">
      <c r="B42" s="83" t="s">
        <v>85</v>
      </c>
      <c r="C42" s="81"/>
      <c r="D42" s="201">
        <f>D40+D41</f>
        <v>-5250</v>
      </c>
      <c r="E42" s="201">
        <v>47250</v>
      </c>
      <c r="F42" s="201">
        <v>80062.5</v>
      </c>
      <c r="G42" s="201">
        <v>121078.125</v>
      </c>
      <c r="H42" s="202">
        <v>172347.65625</v>
      </c>
    </row>
    <row r="43" spans="2:8" ht="12" customHeight="1">
      <c r="B43" s="71" t="s">
        <v>142</v>
      </c>
      <c r="C43" s="81"/>
      <c r="D43" s="199">
        <f>-D39</f>
        <v>120000</v>
      </c>
      <c r="E43" s="199">
        <f>-E39</f>
        <v>120000</v>
      </c>
      <c r="F43" s="199">
        <f>-F39</f>
        <v>120000</v>
      </c>
      <c r="G43" s="199">
        <f>-G39</f>
        <v>120000</v>
      </c>
      <c r="H43" s="200">
        <f>-H39</f>
        <v>120000</v>
      </c>
    </row>
    <row r="44" spans="2:8" ht="12" customHeight="1">
      <c r="B44" s="71" t="s">
        <v>177</v>
      </c>
      <c r="C44" s="211">
        <v>-600000</v>
      </c>
      <c r="D44" s="212">
        <v>0</v>
      </c>
      <c r="E44" s="212">
        <v>0</v>
      </c>
      <c r="F44" s="212">
        <v>0</v>
      </c>
      <c r="G44" s="212">
        <v>0</v>
      </c>
      <c r="H44" s="213">
        <v>0</v>
      </c>
    </row>
    <row r="45" spans="2:8" ht="12" customHeight="1" thickBot="1">
      <c r="B45" s="138" t="s">
        <v>154</v>
      </c>
      <c r="C45" s="214">
        <v>-600000</v>
      </c>
      <c r="D45" s="207">
        <f>D42+D43-D44</f>
        <v>114750</v>
      </c>
      <c r="E45" s="207">
        <f>E42+E43-E44</f>
        <v>167250</v>
      </c>
      <c r="F45" s="207">
        <f>F42+F43-F44</f>
        <v>200062.5</v>
      </c>
      <c r="G45" s="207">
        <f>G42+G43-G44</f>
        <v>241078.125</v>
      </c>
      <c r="H45" s="208">
        <f>H42+H43-H44</f>
        <v>292347.65625</v>
      </c>
    </row>
    <row r="46" spans="2:8" ht="12" customHeight="1" thickTop="1">
      <c r="B46" s="71"/>
      <c r="C46" s="85"/>
      <c r="D46" s="85"/>
      <c r="E46" s="85"/>
      <c r="F46" s="85"/>
      <c r="G46" s="85"/>
      <c r="H46" s="86"/>
    </row>
    <row r="47" spans="2:8" ht="12" customHeight="1">
      <c r="B47" s="84" t="s">
        <v>127</v>
      </c>
      <c r="C47" s="201">
        <f>NPV(C12,D45:H45)+C45</f>
        <v>40977.632018679054</v>
      </c>
      <c r="D47" s="85"/>
      <c r="E47" s="85"/>
      <c r="F47" s="85"/>
      <c r="G47" s="85"/>
      <c r="H47" s="86"/>
    </row>
    <row r="48" spans="2:8" ht="12" customHeight="1">
      <c r="B48" s="87" t="s">
        <v>128</v>
      </c>
      <c r="C48" s="215">
        <f>IRR(C45:H45)</f>
        <v>0.17445418758153278</v>
      </c>
      <c r="D48" s="88"/>
      <c r="E48" s="88"/>
      <c r="F48" s="88"/>
      <c r="G48" s="88"/>
      <c r="H48" s="89"/>
    </row>
    <row r="50" spans="2:8" ht="12" customHeight="1">
      <c r="B50" s="290" t="s">
        <v>183</v>
      </c>
      <c r="C50" s="291"/>
      <c r="D50" s="291"/>
      <c r="E50" s="291"/>
      <c r="F50" s="291"/>
      <c r="G50" s="291"/>
      <c r="H50" s="291"/>
    </row>
    <row r="52" spans="2:8" ht="12" customHeight="1">
      <c r="B52" s="314" t="s">
        <v>182</v>
      </c>
      <c r="C52" s="363"/>
      <c r="D52" s="363"/>
      <c r="E52" s="363"/>
      <c r="F52" s="363"/>
      <c r="G52" s="363"/>
      <c r="H52" s="364"/>
    </row>
    <row r="54" spans="2:8" ht="12" customHeight="1">
      <c r="B54" s="71"/>
      <c r="C54" s="352" t="s">
        <v>150</v>
      </c>
      <c r="D54" s="362"/>
      <c r="E54" s="362"/>
      <c r="F54" s="362"/>
      <c r="G54" s="362"/>
      <c r="H54" s="360"/>
    </row>
    <row r="55" spans="2:8" ht="12" customHeight="1">
      <c r="B55" s="79"/>
      <c r="C55" s="77">
        <v>0</v>
      </c>
      <c r="D55" s="77">
        <v>1</v>
      </c>
      <c r="E55" s="77">
        <v>2</v>
      </c>
      <c r="F55" s="77">
        <v>3</v>
      </c>
      <c r="G55" s="77">
        <v>4</v>
      </c>
      <c r="H55" s="80">
        <v>5</v>
      </c>
    </row>
    <row r="56" spans="2:8" ht="12" customHeight="1">
      <c r="B56" s="71" t="s">
        <v>107</v>
      </c>
      <c r="C56" s="81"/>
      <c r="D56" s="199">
        <f>C7</f>
        <v>100000</v>
      </c>
      <c r="E56" s="199">
        <f>D56*(1+$C$9)</f>
        <v>125000</v>
      </c>
      <c r="F56" s="199">
        <f>E56*(1+$C$9)</f>
        <v>156250</v>
      </c>
      <c r="G56" s="199">
        <f>F56*(1+$C$9)</f>
        <v>195312.5</v>
      </c>
      <c r="H56" s="200">
        <f>G56*(1+$C$9)</f>
        <v>244140.625</v>
      </c>
    </row>
    <row r="57" spans="2:8" ht="12" customHeight="1">
      <c r="B57" s="71" t="s">
        <v>16</v>
      </c>
      <c r="C57" s="82"/>
      <c r="D57" s="201">
        <f>D56*$C$8</f>
        <v>150000</v>
      </c>
      <c r="E57" s="201">
        <f>E56*$C$8</f>
        <v>187500</v>
      </c>
      <c r="F57" s="201">
        <f>F56*$C$8</f>
        <v>234375</v>
      </c>
      <c r="G57" s="201">
        <f>G56*$C$8</f>
        <v>292968.75</v>
      </c>
      <c r="H57" s="202">
        <f>H56*$C$8</f>
        <v>366210.9375</v>
      </c>
    </row>
    <row r="58" spans="2:8" ht="12" customHeight="1">
      <c r="B58" s="71" t="s">
        <v>184</v>
      </c>
      <c r="C58" s="82"/>
      <c r="D58" s="275">
        <f>-$C$11*D56</f>
        <v>-20000</v>
      </c>
      <c r="E58" s="275">
        <f>-$C$11*E56</f>
        <v>-25000</v>
      </c>
      <c r="F58" s="275">
        <f>-$C$11*F56</f>
        <v>-31250</v>
      </c>
      <c r="G58" s="275">
        <f>-$C$11*G56</f>
        <v>-39062.5</v>
      </c>
      <c r="H58" s="275">
        <f>-$C$11*H56</f>
        <v>-48828.125</v>
      </c>
    </row>
    <row r="59" spans="2:8" ht="12" customHeight="1">
      <c r="B59" s="71" t="s">
        <v>81</v>
      </c>
      <c r="C59" s="81"/>
      <c r="D59" s="203">
        <f>$C$5/$C$6</f>
        <v>-120000</v>
      </c>
      <c r="E59" s="203">
        <f>$C$5/$C$6</f>
        <v>-120000</v>
      </c>
      <c r="F59" s="203">
        <f>$C$5/$C$6</f>
        <v>-120000</v>
      </c>
      <c r="G59" s="203">
        <f>$C$5/$C$6</f>
        <v>-120000</v>
      </c>
      <c r="H59" s="204">
        <f>$C$5/$C$6</f>
        <v>-120000</v>
      </c>
    </row>
    <row r="60" spans="2:8" ht="12" customHeight="1">
      <c r="B60" s="147" t="s">
        <v>84</v>
      </c>
      <c r="C60" s="81"/>
      <c r="D60" s="201">
        <f>D57+D58+D59</f>
        <v>10000</v>
      </c>
      <c r="E60" s="201">
        <f>E57+E58+E59</f>
        <v>42500</v>
      </c>
      <c r="F60" s="201">
        <f>F57+F58+F59</f>
        <v>83125</v>
      </c>
      <c r="G60" s="201">
        <f>G57+G58+G59</f>
        <v>133906.25</v>
      </c>
      <c r="H60" s="201">
        <f>H57+H58+H59</f>
        <v>197382.8125</v>
      </c>
    </row>
    <row r="61" spans="2:8" ht="12" customHeight="1">
      <c r="B61" s="71" t="s">
        <v>137</v>
      </c>
      <c r="C61" s="81"/>
      <c r="D61" s="203">
        <f>-$C$10*D60</f>
        <v>-3000</v>
      </c>
      <c r="E61" s="203">
        <f>-$C$10*E60</f>
        <v>-12750</v>
      </c>
      <c r="F61" s="203">
        <f>-$C$10*F60</f>
        <v>-24937.5</v>
      </c>
      <c r="G61" s="203">
        <f>-$C$10*G60</f>
        <v>-40171.875</v>
      </c>
      <c r="H61" s="204">
        <f>-$C$10*H60</f>
        <v>-59214.84375</v>
      </c>
    </row>
    <row r="62" spans="2:8" ht="12" customHeight="1">
      <c r="B62" s="83" t="s">
        <v>85</v>
      </c>
      <c r="C62" s="81"/>
      <c r="D62" s="201">
        <f>D60+D61</f>
        <v>7000</v>
      </c>
      <c r="E62" s="201">
        <v>47250</v>
      </c>
      <c r="F62" s="201">
        <v>80062.5</v>
      </c>
      <c r="G62" s="201">
        <v>121078.125</v>
      </c>
      <c r="H62" s="202">
        <v>172347.65625</v>
      </c>
    </row>
    <row r="63" spans="2:8" ht="12" customHeight="1">
      <c r="B63" s="71" t="s">
        <v>142</v>
      </c>
      <c r="C63" s="81"/>
      <c r="D63" s="199">
        <f>-D59</f>
        <v>120000</v>
      </c>
      <c r="E63" s="199">
        <f>-E59</f>
        <v>120000</v>
      </c>
      <c r="F63" s="199">
        <f>-F59</f>
        <v>120000</v>
      </c>
      <c r="G63" s="199">
        <f>-G59</f>
        <v>120000</v>
      </c>
      <c r="H63" s="200">
        <f>-H59</f>
        <v>120000</v>
      </c>
    </row>
    <row r="64" spans="2:8" ht="12" customHeight="1">
      <c r="B64" s="71" t="s">
        <v>177</v>
      </c>
      <c r="C64" s="199">
        <f>C45</f>
        <v>-600000</v>
      </c>
      <c r="D64" s="205">
        <v>0</v>
      </c>
      <c r="E64" s="205">
        <v>0</v>
      </c>
      <c r="F64" s="205">
        <v>0</v>
      </c>
      <c r="G64" s="205">
        <v>0</v>
      </c>
      <c r="H64" s="206">
        <v>0</v>
      </c>
    </row>
    <row r="65" spans="2:8" ht="12" customHeight="1" thickBot="1">
      <c r="B65" s="138" t="s">
        <v>154</v>
      </c>
      <c r="C65" s="207">
        <v>-600000</v>
      </c>
      <c r="D65" s="207">
        <f>D62+D63-D64</f>
        <v>127000</v>
      </c>
      <c r="E65" s="207">
        <f>E62+E63-E64</f>
        <v>167250</v>
      </c>
      <c r="F65" s="207">
        <f>F62+F63-F64</f>
        <v>200062.5</v>
      </c>
      <c r="G65" s="207">
        <f>G62+G63-G64</f>
        <v>241078.125</v>
      </c>
      <c r="H65" s="208">
        <f>H62+H63-H64</f>
        <v>292347.65625</v>
      </c>
    </row>
    <row r="66" spans="2:8" ht="12" customHeight="1" thickTop="1">
      <c r="B66" s="138"/>
      <c r="C66" s="273"/>
      <c r="D66" s="273"/>
      <c r="E66" s="273"/>
      <c r="F66" s="273"/>
      <c r="G66" s="273"/>
      <c r="H66" s="274"/>
    </row>
    <row r="67" spans="2:8" ht="12" customHeight="1">
      <c r="B67" s="71"/>
      <c r="C67" s="78"/>
      <c r="D67" s="78"/>
      <c r="E67" s="78"/>
      <c r="F67" s="78"/>
      <c r="G67" s="78"/>
      <c r="H67" s="72"/>
    </row>
    <row r="68" spans="2:8" ht="12" customHeight="1">
      <c r="B68" s="84" t="s">
        <v>127</v>
      </c>
      <c r="C68" s="209">
        <f>NPV(C12,D65:H65)+C65</f>
        <v>51629.80593172251</v>
      </c>
      <c r="D68" s="70"/>
      <c r="E68" s="78"/>
      <c r="F68" s="78"/>
      <c r="G68" s="78"/>
      <c r="H68" s="72"/>
    </row>
    <row r="69" spans="2:8" ht="12" customHeight="1">
      <c r="B69" s="87" t="s">
        <v>128</v>
      </c>
      <c r="C69" s="292">
        <f>IRR(C65:H65)</f>
        <v>0.18104915146040357</v>
      </c>
      <c r="D69" s="293"/>
      <c r="E69" s="294"/>
      <c r="F69" s="294"/>
      <c r="G69" s="294"/>
      <c r="H69" s="74"/>
    </row>
    <row r="71" spans="2:8" ht="12" customHeight="1">
      <c r="B71" s="291" t="s">
        <v>185</v>
      </c>
      <c r="C71" s="291"/>
      <c r="D71" s="291"/>
      <c r="E71" s="291"/>
      <c r="F71" s="291"/>
      <c r="G71" s="291"/>
      <c r="H71" s="291"/>
    </row>
  </sheetData>
  <sheetProtection/>
  <mergeCells count="14">
    <mergeCell ref="B52:H52"/>
    <mergeCell ref="C54:H54"/>
    <mergeCell ref="C35:H35"/>
    <mergeCell ref="B14:H14"/>
    <mergeCell ref="B27:H27"/>
    <mergeCell ref="B32:H32"/>
    <mergeCell ref="B2:H2"/>
    <mergeCell ref="B4:D4"/>
    <mergeCell ref="C15:H15"/>
    <mergeCell ref="F4:J4"/>
    <mergeCell ref="G5:J5"/>
    <mergeCell ref="G8:J8"/>
    <mergeCell ref="G9:J9"/>
    <mergeCell ref="G10:J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">
      <selection activeCell="B15" sqref="B15:M15"/>
    </sheetView>
  </sheetViews>
  <sheetFormatPr defaultColWidth="9.125" defaultRowHeight="12.75"/>
  <cols>
    <col min="1" max="1" width="2.625" style="1" customWidth="1"/>
    <col min="2" max="2" width="30.75390625" style="1" customWidth="1"/>
    <col min="3" max="3" width="12.25390625" style="1" bestFit="1" customWidth="1"/>
    <col min="4" max="7" width="9.375" style="1" bestFit="1" customWidth="1"/>
    <col min="8" max="8" width="10.25390625" style="1" bestFit="1" customWidth="1"/>
    <col min="9" max="9" width="9.375" style="1" bestFit="1" customWidth="1"/>
    <col min="10" max="10" width="15.875" style="1" customWidth="1"/>
    <col min="11" max="13" width="9.375" style="1" bestFit="1" customWidth="1"/>
    <col min="14" max="16384" width="9.125" style="1" customWidth="1"/>
  </cols>
  <sheetData>
    <row r="2" spans="1:13" s="2" customFormat="1" ht="36" customHeight="1">
      <c r="A2" s="3"/>
      <c r="B2" s="309" t="s">
        <v>0</v>
      </c>
      <c r="C2" s="309"/>
      <c r="D2" s="309"/>
      <c r="E2" s="309"/>
      <c r="F2" s="309"/>
      <c r="G2" s="309"/>
      <c r="H2" s="309"/>
      <c r="I2" s="3"/>
      <c r="J2" s="3"/>
      <c r="K2" s="3"/>
      <c r="L2" s="3"/>
      <c r="M2" s="3"/>
    </row>
    <row r="3" ht="13.5" thickBot="1"/>
    <row r="4" spans="2:10" ht="18" customHeight="1" thickTop="1">
      <c r="B4" s="314" t="s">
        <v>164</v>
      </c>
      <c r="C4" s="315"/>
      <c r="D4" s="316"/>
      <c r="F4" s="311" t="s">
        <v>25</v>
      </c>
      <c r="G4" s="312"/>
      <c r="H4" s="312"/>
      <c r="I4" s="312"/>
      <c r="J4" s="313"/>
    </row>
    <row r="5" spans="2:10" ht="12.75">
      <c r="B5" s="18" t="s">
        <v>131</v>
      </c>
      <c r="C5" s="111">
        <v>250000</v>
      </c>
      <c r="D5" s="19"/>
      <c r="F5" s="238"/>
      <c r="G5" s="350" t="s">
        <v>26</v>
      </c>
      <c r="H5" s="350"/>
      <c r="I5" s="350"/>
      <c r="J5" s="351"/>
    </row>
    <row r="6" spans="2:10" ht="12.75">
      <c r="B6" s="18" t="s">
        <v>132</v>
      </c>
      <c r="C6" s="142">
        <v>10000</v>
      </c>
      <c r="D6" s="19"/>
      <c r="F6" s="240"/>
      <c r="G6" s="235" t="s">
        <v>27</v>
      </c>
      <c r="H6" s="247"/>
      <c r="I6" s="237"/>
      <c r="J6" s="239"/>
    </row>
    <row r="7" spans="2:10" ht="12.75">
      <c r="B7" s="18" t="s">
        <v>133</v>
      </c>
      <c r="C7" s="142">
        <v>100000</v>
      </c>
      <c r="D7" s="19"/>
      <c r="F7" s="241"/>
      <c r="G7" s="236" t="s">
        <v>28</v>
      </c>
      <c r="H7" s="236"/>
      <c r="I7" s="236"/>
      <c r="J7" s="242"/>
    </row>
    <row r="8" spans="2:10" ht="12.75">
      <c r="B8" s="18" t="s">
        <v>134</v>
      </c>
      <c r="C8" s="142">
        <v>5000</v>
      </c>
      <c r="D8" s="19"/>
      <c r="F8" s="243"/>
      <c r="G8" s="278" t="s">
        <v>29</v>
      </c>
      <c r="H8" s="278"/>
      <c r="I8" s="278"/>
      <c r="J8" s="279"/>
    </row>
    <row r="9" spans="2:10" ht="12.75">
      <c r="B9" s="18" t="s">
        <v>76</v>
      </c>
      <c r="C9" s="39" t="s">
        <v>34</v>
      </c>
      <c r="D9" s="19"/>
      <c r="F9" s="244"/>
      <c r="G9" s="278" t="s">
        <v>30</v>
      </c>
      <c r="H9" s="278"/>
      <c r="I9" s="278"/>
      <c r="J9" s="279"/>
    </row>
    <row r="10" spans="2:10" ht="13.5" thickBot="1">
      <c r="B10" s="18" t="s">
        <v>35</v>
      </c>
      <c r="C10" s="119">
        <v>10</v>
      </c>
      <c r="D10" s="19" t="s">
        <v>71</v>
      </c>
      <c r="F10" s="245"/>
      <c r="G10" s="304" t="s">
        <v>31</v>
      </c>
      <c r="H10" s="304"/>
      <c r="I10" s="304"/>
      <c r="J10" s="305"/>
    </row>
    <row r="11" spans="2:4" ht="13.5" thickTop="1">
      <c r="B11" s="18" t="s">
        <v>42</v>
      </c>
      <c r="C11" s="139">
        <v>0.3</v>
      </c>
      <c r="D11" s="19"/>
    </row>
    <row r="12" spans="2:4" ht="12.75">
      <c r="B12" s="20" t="s">
        <v>36</v>
      </c>
      <c r="C12" s="140">
        <v>0.12</v>
      </c>
      <c r="D12" s="21"/>
    </row>
    <row r="15" spans="2:13" s="2" customFormat="1" ht="18" customHeight="1">
      <c r="B15" s="314" t="s">
        <v>190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6"/>
    </row>
    <row r="16" spans="2:13" ht="12.75">
      <c r="B16" s="24" t="s">
        <v>143</v>
      </c>
      <c r="C16" s="352" t="s">
        <v>150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3"/>
    </row>
    <row r="17" spans="2:13" ht="12.75">
      <c r="B17" s="18"/>
      <c r="C17" s="27">
        <v>0</v>
      </c>
      <c r="D17" s="27">
        <f>C17+1</f>
        <v>1</v>
      </c>
      <c r="E17" s="27">
        <f aca="true" t="shared" si="0" ref="E17:M17">D17+1</f>
        <v>2</v>
      </c>
      <c r="F17" s="27">
        <f t="shared" si="0"/>
        <v>3</v>
      </c>
      <c r="G17" s="27">
        <f t="shared" si="0"/>
        <v>4</v>
      </c>
      <c r="H17" s="27">
        <f t="shared" si="0"/>
        <v>5</v>
      </c>
      <c r="I17" s="27">
        <f t="shared" si="0"/>
        <v>6</v>
      </c>
      <c r="J17" s="27">
        <f t="shared" si="0"/>
        <v>7</v>
      </c>
      <c r="K17" s="27">
        <f t="shared" si="0"/>
        <v>8</v>
      </c>
      <c r="L17" s="27">
        <f>K17+1</f>
        <v>9</v>
      </c>
      <c r="M17" s="28">
        <f t="shared" si="0"/>
        <v>10</v>
      </c>
    </row>
    <row r="18" spans="2:13" ht="12.75">
      <c r="B18" s="24" t="s">
        <v>147</v>
      </c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95"/>
    </row>
    <row r="19" spans="2:13" ht="12.75">
      <c r="B19" s="18" t="s">
        <v>119</v>
      </c>
      <c r="C19" s="30">
        <v>-250000</v>
      </c>
      <c r="D19" s="30"/>
      <c r="E19" s="30"/>
      <c r="F19" s="30"/>
      <c r="G19" s="30"/>
      <c r="H19" s="142">
        <f>-C7</f>
        <v>-100000</v>
      </c>
      <c r="I19" s="30"/>
      <c r="J19" s="30"/>
      <c r="K19" s="30"/>
      <c r="L19" s="29"/>
      <c r="M19" s="95"/>
    </row>
    <row r="20" spans="2:13" ht="12.75">
      <c r="B20" s="18" t="s">
        <v>113</v>
      </c>
      <c r="C20" s="22">
        <v>-10000</v>
      </c>
      <c r="D20" s="22"/>
      <c r="E20" s="22"/>
      <c r="F20" s="22"/>
      <c r="G20" s="22"/>
      <c r="H20" s="22"/>
      <c r="I20" s="22"/>
      <c r="J20" s="22"/>
      <c r="K20" s="22"/>
      <c r="L20" s="2"/>
      <c r="M20" s="19"/>
    </row>
    <row r="21" spans="2:13" ht="12.75">
      <c r="B21" s="18" t="s">
        <v>114</v>
      </c>
      <c r="C21" s="282">
        <f>SUM(C19:C20)</f>
        <v>-260000</v>
      </c>
      <c r="D21" s="22"/>
      <c r="E21" s="22"/>
      <c r="F21" s="22"/>
      <c r="G21" s="22"/>
      <c r="H21" s="22"/>
      <c r="I21" s="22"/>
      <c r="J21" s="22"/>
      <c r="K21" s="22"/>
      <c r="L21" s="2"/>
      <c r="M21" s="19"/>
    </row>
    <row r="22" spans="2:13" ht="12.75">
      <c r="B22" s="18" t="s">
        <v>116</v>
      </c>
      <c r="C22" s="22"/>
      <c r="D22" s="22"/>
      <c r="E22" s="22"/>
      <c r="F22" s="22"/>
      <c r="G22" s="22"/>
      <c r="H22" s="22"/>
      <c r="I22" s="22"/>
      <c r="J22" s="22"/>
      <c r="K22" s="22"/>
      <c r="L22" s="2"/>
      <c r="M22" s="144">
        <f>C8*(1-C11)</f>
        <v>3500</v>
      </c>
    </row>
    <row r="23" spans="2:13" ht="12.75">
      <c r="B23" s="24" t="s">
        <v>148</v>
      </c>
      <c r="C23" s="22"/>
      <c r="D23" s="22"/>
      <c r="E23" s="22"/>
      <c r="F23" s="22"/>
      <c r="G23" s="22"/>
      <c r="H23" s="22"/>
      <c r="I23" s="22"/>
      <c r="J23" s="22"/>
      <c r="K23" s="22"/>
      <c r="L23" s="2"/>
      <c r="M23" s="19"/>
    </row>
    <row r="24" spans="2:13" ht="12.75">
      <c r="B24" s="50" t="s">
        <v>149</v>
      </c>
      <c r="C24" s="22"/>
      <c r="D24" s="112">
        <v>70000</v>
      </c>
      <c r="E24" s="112">
        <v>70000</v>
      </c>
      <c r="F24" s="112">
        <v>70000</v>
      </c>
      <c r="G24" s="112">
        <v>70000</v>
      </c>
      <c r="H24" s="112">
        <v>70000</v>
      </c>
      <c r="I24" s="112">
        <v>70000</v>
      </c>
      <c r="J24" s="112">
        <v>70000</v>
      </c>
      <c r="K24" s="112">
        <v>70000</v>
      </c>
      <c r="L24" s="112">
        <v>70000</v>
      </c>
      <c r="M24" s="144">
        <v>70000</v>
      </c>
    </row>
    <row r="25" spans="2:13" ht="12.75">
      <c r="B25" s="50" t="s">
        <v>146</v>
      </c>
      <c r="C25" s="22"/>
      <c r="D25" s="283">
        <f>$C$21/$C$10</f>
        <v>-26000</v>
      </c>
      <c r="E25" s="283">
        <f>$C$21/$C$10</f>
        <v>-26000</v>
      </c>
      <c r="F25" s="283">
        <f>$C$21/$C$10</f>
        <v>-26000</v>
      </c>
      <c r="G25" s="283">
        <f>$C$21/$C$10</f>
        <v>-26000</v>
      </c>
      <c r="H25" s="283">
        <f>$C$21/$C$10</f>
        <v>-26000</v>
      </c>
      <c r="I25" s="283">
        <f>$C$21/$C$10+$H$19/5</f>
        <v>-46000</v>
      </c>
      <c r="J25" s="283">
        <f>$C$21/$C$10+$H$19/5</f>
        <v>-46000</v>
      </c>
      <c r="K25" s="283">
        <f>$C$21/$C$10+$H$19/5</f>
        <v>-46000</v>
      </c>
      <c r="L25" s="283">
        <f>$C$21/$C$10+$H$19/5</f>
        <v>-46000</v>
      </c>
      <c r="M25" s="284">
        <f>$C$21/$C$10+$H$19/5</f>
        <v>-46000</v>
      </c>
    </row>
    <row r="26" spans="2:13" ht="12.75">
      <c r="B26" s="50" t="s">
        <v>123</v>
      </c>
      <c r="C26" s="22"/>
      <c r="D26" s="142">
        <f>SUM(D24:D25)</f>
        <v>44000</v>
      </c>
      <c r="E26" s="142">
        <f aca="true" t="shared" si="1" ref="E26:M26">SUM(E24:E25)</f>
        <v>44000</v>
      </c>
      <c r="F26" s="142">
        <f t="shared" si="1"/>
        <v>44000</v>
      </c>
      <c r="G26" s="142">
        <f t="shared" si="1"/>
        <v>44000</v>
      </c>
      <c r="H26" s="142">
        <f t="shared" si="1"/>
        <v>44000</v>
      </c>
      <c r="I26" s="142">
        <f t="shared" si="1"/>
        <v>24000</v>
      </c>
      <c r="J26" s="142">
        <f t="shared" si="1"/>
        <v>24000</v>
      </c>
      <c r="K26" s="142">
        <f t="shared" si="1"/>
        <v>24000</v>
      </c>
      <c r="L26" s="142">
        <f t="shared" si="1"/>
        <v>24000</v>
      </c>
      <c r="M26" s="225">
        <f t="shared" si="1"/>
        <v>24000</v>
      </c>
    </row>
    <row r="27" spans="2:13" ht="12.75">
      <c r="B27" s="50" t="s">
        <v>137</v>
      </c>
      <c r="C27" s="22"/>
      <c r="D27" s="283">
        <f>-$C$11*D26</f>
        <v>-13200</v>
      </c>
      <c r="E27" s="283">
        <f aca="true" t="shared" si="2" ref="E27:M27">-$C$11*E26</f>
        <v>-13200</v>
      </c>
      <c r="F27" s="283">
        <f t="shared" si="2"/>
        <v>-13200</v>
      </c>
      <c r="G27" s="283">
        <f t="shared" si="2"/>
        <v>-13200</v>
      </c>
      <c r="H27" s="283">
        <f t="shared" si="2"/>
        <v>-13200</v>
      </c>
      <c r="I27" s="283">
        <f t="shared" si="2"/>
        <v>-7200</v>
      </c>
      <c r="J27" s="283">
        <f t="shared" si="2"/>
        <v>-7200</v>
      </c>
      <c r="K27" s="283">
        <f t="shared" si="2"/>
        <v>-7200</v>
      </c>
      <c r="L27" s="283">
        <f t="shared" si="2"/>
        <v>-7200</v>
      </c>
      <c r="M27" s="284">
        <f t="shared" si="2"/>
        <v>-7200</v>
      </c>
    </row>
    <row r="28" spans="2:13" ht="12.75">
      <c r="B28" s="99" t="s">
        <v>85</v>
      </c>
      <c r="C28" s="22"/>
      <c r="D28" s="142">
        <f>D26+D27</f>
        <v>30800</v>
      </c>
      <c r="E28" s="142">
        <f aca="true" t="shared" si="3" ref="E28:M28">E26+E27</f>
        <v>30800</v>
      </c>
      <c r="F28" s="142">
        <f t="shared" si="3"/>
        <v>30800</v>
      </c>
      <c r="G28" s="142">
        <f t="shared" si="3"/>
        <v>30800</v>
      </c>
      <c r="H28" s="142">
        <f t="shared" si="3"/>
        <v>30800</v>
      </c>
      <c r="I28" s="142">
        <f t="shared" si="3"/>
        <v>16800</v>
      </c>
      <c r="J28" s="142">
        <f t="shared" si="3"/>
        <v>16800</v>
      </c>
      <c r="K28" s="142">
        <f t="shared" si="3"/>
        <v>16800</v>
      </c>
      <c r="L28" s="142">
        <f t="shared" si="3"/>
        <v>16800</v>
      </c>
      <c r="M28" s="225">
        <f t="shared" si="3"/>
        <v>16800</v>
      </c>
    </row>
    <row r="29" spans="2:13" ht="12.75">
      <c r="B29" s="50" t="s">
        <v>163</v>
      </c>
      <c r="C29" s="22"/>
      <c r="D29" s="112">
        <f>-D25</f>
        <v>26000</v>
      </c>
      <c r="E29" s="112">
        <f aca="true" t="shared" si="4" ref="E29:M29">-E25</f>
        <v>26000</v>
      </c>
      <c r="F29" s="112">
        <f t="shared" si="4"/>
        <v>26000</v>
      </c>
      <c r="G29" s="112">
        <f t="shared" si="4"/>
        <v>26000</v>
      </c>
      <c r="H29" s="112">
        <f t="shared" si="4"/>
        <v>26000</v>
      </c>
      <c r="I29" s="112">
        <f t="shared" si="4"/>
        <v>46000</v>
      </c>
      <c r="J29" s="112">
        <f t="shared" si="4"/>
        <v>46000</v>
      </c>
      <c r="K29" s="112">
        <f t="shared" si="4"/>
        <v>46000</v>
      </c>
      <c r="L29" s="112">
        <f t="shared" si="4"/>
        <v>46000</v>
      </c>
      <c r="M29" s="144">
        <f t="shared" si="4"/>
        <v>46000</v>
      </c>
    </row>
    <row r="30" spans="2:13" ht="12.75">
      <c r="B30" s="50" t="s">
        <v>177</v>
      </c>
      <c r="C30" s="112">
        <f>C21</f>
        <v>-260000</v>
      </c>
      <c r="D30" s="112">
        <f>D19</f>
        <v>0</v>
      </c>
      <c r="E30" s="112">
        <f aca="true" t="shared" si="5" ref="E30:M30">E19</f>
        <v>0</v>
      </c>
      <c r="F30" s="112">
        <f t="shared" si="5"/>
        <v>0</v>
      </c>
      <c r="G30" s="112">
        <f t="shared" si="5"/>
        <v>0</v>
      </c>
      <c r="H30" s="112">
        <f t="shared" si="5"/>
        <v>-100000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>
        <f t="shared" si="5"/>
        <v>0</v>
      </c>
      <c r="M30" s="144">
        <f t="shared" si="5"/>
        <v>0</v>
      </c>
    </row>
    <row r="31" spans="2:13" ht="13.5" thickBot="1">
      <c r="B31" s="141" t="s">
        <v>115</v>
      </c>
      <c r="C31" s="285">
        <f>C21</f>
        <v>-260000</v>
      </c>
      <c r="D31" s="285">
        <f>D28+D29+D30</f>
        <v>56800</v>
      </c>
      <c r="E31" s="285">
        <f aca="true" t="shared" si="6" ref="E31:L31">E28+E29+E30</f>
        <v>56800</v>
      </c>
      <c r="F31" s="285">
        <f t="shared" si="6"/>
        <v>56800</v>
      </c>
      <c r="G31" s="285">
        <f t="shared" si="6"/>
        <v>56800</v>
      </c>
      <c r="H31" s="285">
        <f t="shared" si="6"/>
        <v>-43200</v>
      </c>
      <c r="I31" s="285">
        <f t="shared" si="6"/>
        <v>62800</v>
      </c>
      <c r="J31" s="285">
        <f t="shared" si="6"/>
        <v>62800</v>
      </c>
      <c r="K31" s="285">
        <f t="shared" si="6"/>
        <v>62800</v>
      </c>
      <c r="L31" s="285">
        <f t="shared" si="6"/>
        <v>62800</v>
      </c>
      <c r="M31" s="286">
        <f>M28+M29+M30+M22</f>
        <v>66300</v>
      </c>
    </row>
    <row r="32" spans="2:13" ht="13.5" thickTop="1"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"/>
      <c r="M32" s="19"/>
    </row>
    <row r="33" spans="2:13" ht="12.75">
      <c r="B33" s="24" t="s">
        <v>144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19"/>
    </row>
    <row r="34" spans="2:13" ht="12.75">
      <c r="B34" s="24" t="s">
        <v>72</v>
      </c>
      <c r="C34" s="193">
        <f>C31+NPV(C12,D31:M31)</f>
        <v>17589.569726339658</v>
      </c>
      <c r="D34" s="2"/>
      <c r="E34" s="2"/>
      <c r="F34" s="2"/>
      <c r="G34" s="2"/>
      <c r="H34" s="2"/>
      <c r="I34" s="2"/>
      <c r="J34" s="2"/>
      <c r="K34" s="2"/>
      <c r="L34" s="2"/>
      <c r="M34" s="19"/>
    </row>
    <row r="35" spans="2:13" ht="12.75">
      <c r="B35" s="49" t="s">
        <v>73</v>
      </c>
      <c r="C35" s="224">
        <f>IRR(C31:M31)</f>
        <v>0.13607007893796724</v>
      </c>
      <c r="D35" s="36"/>
      <c r="E35" s="36"/>
      <c r="F35" s="36"/>
      <c r="G35" s="36"/>
      <c r="H35" s="36"/>
      <c r="I35" s="36"/>
      <c r="J35" s="36"/>
      <c r="K35" s="36"/>
      <c r="L35" s="36"/>
      <c r="M35" s="21"/>
    </row>
    <row r="39" spans="2:3" ht="18" customHeight="1">
      <c r="B39" s="314" t="s">
        <v>117</v>
      </c>
      <c r="C39" s="316"/>
    </row>
    <row r="40" spans="2:3" ht="12.75">
      <c r="B40" s="96" t="s">
        <v>118</v>
      </c>
      <c r="C40" s="31" t="s">
        <v>127</v>
      </c>
    </row>
    <row r="41" spans="2:3" ht="12.75">
      <c r="B41" s="93">
        <v>0</v>
      </c>
      <c r="C41" s="302">
        <f>$C$31+NPV(B41,$D$31:$M$31)</f>
        <v>241500</v>
      </c>
    </row>
    <row r="42" spans="2:3" ht="12.75">
      <c r="B42" s="93">
        <f>0.02+B41</f>
        <v>0.02</v>
      </c>
      <c r="C42" s="302">
        <f aca="true" t="shared" si="7" ref="C42:C61">$C$31+NPV(B42,$D$31:$M$31)</f>
        <v>188123.71940755856</v>
      </c>
    </row>
    <row r="43" spans="2:3" ht="12.75">
      <c r="B43" s="93">
        <f aca="true" t="shared" si="8" ref="B43:B61">0.02+B42</f>
        <v>0.04</v>
      </c>
      <c r="C43" s="302">
        <f t="shared" si="7"/>
        <v>142825.08487235353</v>
      </c>
    </row>
    <row r="44" spans="2:3" ht="12.75">
      <c r="B44" s="93">
        <f t="shared" si="8"/>
        <v>0.06</v>
      </c>
      <c r="C44" s="302">
        <f t="shared" si="7"/>
        <v>104167.84854804579</v>
      </c>
    </row>
    <row r="45" spans="2:3" ht="12.75">
      <c r="B45" s="93">
        <f t="shared" si="8"/>
        <v>0.08</v>
      </c>
      <c r="C45" s="302">
        <f t="shared" si="7"/>
        <v>70999.7091359751</v>
      </c>
    </row>
    <row r="46" spans="2:3" ht="12.75">
      <c r="B46" s="93">
        <f t="shared" si="8"/>
        <v>0.1</v>
      </c>
      <c r="C46" s="302">
        <f t="shared" si="7"/>
        <v>42391.36282889114</v>
      </c>
    </row>
    <row r="47" spans="2:3" ht="12.75">
      <c r="B47" s="93">
        <f t="shared" si="8"/>
        <v>0.12000000000000001</v>
      </c>
      <c r="C47" s="302">
        <f t="shared" si="7"/>
        <v>17589.569726339658</v>
      </c>
    </row>
    <row r="48" spans="2:3" ht="12.75">
      <c r="B48" s="93">
        <f t="shared" si="8"/>
        <v>0.14</v>
      </c>
      <c r="C48" s="302">
        <f t="shared" si="7"/>
        <v>-4019.186328579468</v>
      </c>
    </row>
    <row r="49" spans="2:3" ht="12.75">
      <c r="B49" s="93">
        <f t="shared" si="8"/>
        <v>0.16</v>
      </c>
      <c r="C49" s="302">
        <f t="shared" si="7"/>
        <v>-22936.985204194498</v>
      </c>
    </row>
    <row r="50" spans="2:3" ht="12.75">
      <c r="B50" s="93">
        <f t="shared" si="8"/>
        <v>0.18</v>
      </c>
      <c r="C50" s="302">
        <f t="shared" si="7"/>
        <v>-39576.60279324651</v>
      </c>
    </row>
    <row r="51" spans="2:3" ht="12.75">
      <c r="B51" s="93">
        <f t="shared" si="8"/>
        <v>0.19999999999999998</v>
      </c>
      <c r="C51" s="302">
        <f t="shared" si="7"/>
        <v>-54278.91352844937</v>
      </c>
    </row>
    <row r="52" spans="2:3" ht="12.75">
      <c r="B52" s="93">
        <f t="shared" si="8"/>
        <v>0.21999999999999997</v>
      </c>
      <c r="C52" s="302">
        <f t="shared" si="7"/>
        <v>-67326.63966194913</v>
      </c>
    </row>
    <row r="53" spans="2:3" ht="12.75">
      <c r="B53" s="93">
        <f t="shared" si="8"/>
        <v>0.23999999999999996</v>
      </c>
      <c r="C53" s="302">
        <f t="shared" si="7"/>
        <v>-78955.26478012756</v>
      </c>
    </row>
    <row r="54" spans="2:3" ht="12.75">
      <c r="B54" s="93">
        <f t="shared" si="8"/>
        <v>0.25999999999999995</v>
      </c>
      <c r="C54" s="302">
        <f t="shared" si="7"/>
        <v>-89361.73549614559</v>
      </c>
    </row>
    <row r="55" spans="2:3" ht="12.75">
      <c r="B55" s="93">
        <f t="shared" si="8"/>
        <v>0.27999999999999997</v>
      </c>
      <c r="C55" s="302">
        <f t="shared" si="7"/>
        <v>-98711.42993002679</v>
      </c>
    </row>
    <row r="56" spans="2:3" ht="12.75">
      <c r="B56" s="93">
        <f t="shared" si="8"/>
        <v>0.3</v>
      </c>
      <c r="C56" s="302">
        <f t="shared" si="7"/>
        <v>-107143.76188138421</v>
      </c>
    </row>
    <row r="57" spans="2:3" ht="12.75">
      <c r="B57" s="93">
        <f t="shared" si="8"/>
        <v>0.32</v>
      </c>
      <c r="C57" s="302">
        <f t="shared" si="7"/>
        <v>-114776.70637357104</v>
      </c>
    </row>
    <row r="58" spans="2:3" ht="12.75">
      <c r="B58" s="93">
        <f t="shared" si="8"/>
        <v>0.34</v>
      </c>
      <c r="C58" s="302">
        <f t="shared" si="7"/>
        <v>-121710.46880249135</v>
      </c>
    </row>
    <row r="59" spans="2:3" ht="12.75">
      <c r="B59" s="93">
        <f t="shared" si="8"/>
        <v>0.36000000000000004</v>
      </c>
      <c r="C59" s="302">
        <f t="shared" si="7"/>
        <v>-128030.47132946915</v>
      </c>
    </row>
    <row r="60" spans="2:3" ht="12.75">
      <c r="B60" s="93">
        <f>0.02+B59</f>
        <v>0.38000000000000006</v>
      </c>
      <c r="C60" s="302">
        <f t="shared" si="7"/>
        <v>-133809.79276898984</v>
      </c>
    </row>
    <row r="61" spans="2:3" ht="12.75">
      <c r="B61" s="94">
        <f t="shared" si="8"/>
        <v>0.4000000000000001</v>
      </c>
      <c r="C61" s="303">
        <f t="shared" si="7"/>
        <v>-139111.1693276178</v>
      </c>
    </row>
    <row r="63" spans="2:12" ht="12.75">
      <c r="B63" s="288" t="s">
        <v>192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87"/>
    </row>
    <row r="64" spans="2:12" ht="12.75">
      <c r="B64" s="287" t="s">
        <v>191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</row>
    <row r="66" spans="2:12" ht="12.75">
      <c r="B66" s="295" t="s">
        <v>193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</row>
    <row r="67" spans="2:12" ht="12.75">
      <c r="B67" s="287" t="s">
        <v>194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</row>
    <row r="68" spans="2:12" ht="12.75">
      <c r="B68" s="287" t="s">
        <v>195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</row>
    <row r="69" spans="2:12" ht="12.75">
      <c r="B69" s="287" t="s">
        <v>196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</row>
    <row r="71" spans="2:12" ht="12.75">
      <c r="B71" s="288" t="s">
        <v>199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</row>
    <row r="72" spans="2:12" ht="12.75">
      <c r="B72" s="287" t="s">
        <v>197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</row>
    <row r="73" spans="2:12" ht="12.75">
      <c r="B73" s="287" t="s">
        <v>198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</row>
    <row r="75" spans="2:12" ht="12.75">
      <c r="B75" s="288" t="s">
        <v>200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</row>
    <row r="76" spans="2:12" ht="12.75">
      <c r="B76" s="287" t="s">
        <v>201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</row>
    <row r="78" spans="2:12" ht="12.75">
      <c r="B78" s="288" t="s">
        <v>205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</row>
    <row r="79" spans="2:12" ht="12.75">
      <c r="B79" s="287" t="s">
        <v>202</v>
      </c>
      <c r="C79" s="287"/>
      <c r="D79" s="287"/>
      <c r="E79" s="287"/>
      <c r="F79" s="287"/>
      <c r="G79" s="287"/>
      <c r="H79" s="287"/>
      <c r="I79" s="287"/>
      <c r="J79" s="287"/>
      <c r="K79" s="287"/>
      <c r="L79" s="287"/>
    </row>
    <row r="80" spans="2:12" ht="12.75">
      <c r="B80" s="287" t="s">
        <v>203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</row>
    <row r="81" spans="2:12" ht="12.75">
      <c r="B81" s="287" t="s">
        <v>204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</row>
  </sheetData>
  <sheetProtection/>
  <mergeCells count="10">
    <mergeCell ref="B39:C39"/>
    <mergeCell ref="B2:H2"/>
    <mergeCell ref="B4:D4"/>
    <mergeCell ref="B15:M15"/>
    <mergeCell ref="C16:M16"/>
    <mergeCell ref="F4:J4"/>
    <mergeCell ref="G5:J5"/>
    <mergeCell ref="G8:J8"/>
    <mergeCell ref="G9:J9"/>
    <mergeCell ref="G10:J1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C7" sqref="C7"/>
    </sheetView>
  </sheetViews>
  <sheetFormatPr defaultColWidth="9.125" defaultRowHeight="12.75"/>
  <cols>
    <col min="1" max="1" width="2.625" style="1" customWidth="1"/>
    <col min="2" max="2" width="23.25390625" style="1" customWidth="1"/>
    <col min="3" max="3" width="13.625" style="1" bestFit="1" customWidth="1"/>
    <col min="4" max="4" width="18.25390625" style="1" customWidth="1"/>
    <col min="5" max="6" width="14.00390625" style="1" bestFit="1" customWidth="1"/>
    <col min="7" max="7" width="13.375" style="1" bestFit="1" customWidth="1"/>
    <col min="8" max="8" width="12.25390625" style="1" bestFit="1" customWidth="1"/>
    <col min="9" max="13" width="9.125" style="1" customWidth="1"/>
    <col min="14" max="14" width="18.625" style="1" customWidth="1"/>
    <col min="15" max="16384" width="9.125" style="1" customWidth="1"/>
  </cols>
  <sheetData>
    <row r="2" spans="1:13" s="2" customFormat="1" ht="36" customHeight="1">
      <c r="A2" s="3"/>
      <c r="B2" s="309" t="s">
        <v>1</v>
      </c>
      <c r="C2" s="309"/>
      <c r="D2" s="309"/>
      <c r="E2" s="309"/>
      <c r="F2" s="309"/>
      <c r="G2" s="309"/>
      <c r="H2" s="309"/>
      <c r="I2" s="3"/>
      <c r="J2" s="3"/>
      <c r="K2" s="3"/>
      <c r="L2" s="3"/>
      <c r="M2" s="3"/>
    </row>
    <row r="3" ht="13.5" thickBot="1"/>
    <row r="4" spans="2:14" ht="18" customHeight="1" thickTop="1">
      <c r="B4" s="314" t="s">
        <v>164</v>
      </c>
      <c r="C4" s="315"/>
      <c r="D4" s="316"/>
      <c r="J4" s="311" t="s">
        <v>25</v>
      </c>
      <c r="K4" s="312"/>
      <c r="L4" s="312"/>
      <c r="M4" s="312"/>
      <c r="N4" s="313"/>
    </row>
    <row r="5" spans="2:14" ht="12.75">
      <c r="B5" s="18" t="s">
        <v>7</v>
      </c>
      <c r="C5" s="142">
        <v>-4000000</v>
      </c>
      <c r="D5" s="19"/>
      <c r="J5" s="238"/>
      <c r="K5" s="350" t="s">
        <v>26</v>
      </c>
      <c r="L5" s="350"/>
      <c r="M5" s="350"/>
      <c r="N5" s="351"/>
    </row>
    <row r="6" spans="2:14" ht="12.75">
      <c r="B6" s="18" t="s">
        <v>8</v>
      </c>
      <c r="C6" s="119">
        <v>5</v>
      </c>
      <c r="D6" s="19"/>
      <c r="J6" s="240"/>
      <c r="K6" s="235" t="s">
        <v>27</v>
      </c>
      <c r="L6" s="247"/>
      <c r="M6" s="237"/>
      <c r="N6" s="239"/>
    </row>
    <row r="7" spans="2:14" ht="13.5" thickBot="1">
      <c r="B7" s="18" t="s">
        <v>134</v>
      </c>
      <c r="C7" s="142">
        <f>-0.1*C5</f>
        <v>400000</v>
      </c>
      <c r="D7" s="19"/>
      <c r="J7" s="241"/>
      <c r="K7" s="236" t="s">
        <v>28</v>
      </c>
      <c r="L7" s="236"/>
      <c r="M7" s="236"/>
      <c r="N7" s="242"/>
    </row>
    <row r="8" spans="2:14" ht="12.75">
      <c r="B8" s="18" t="s">
        <v>9</v>
      </c>
      <c r="C8" s="110">
        <v>0.45</v>
      </c>
      <c r="D8" s="19"/>
      <c r="F8" s="366" t="s">
        <v>135</v>
      </c>
      <c r="G8" s="324"/>
      <c r="H8" s="325"/>
      <c r="J8" s="243"/>
      <c r="K8" s="278" t="s">
        <v>29</v>
      </c>
      <c r="L8" s="278"/>
      <c r="M8" s="278"/>
      <c r="N8" s="279"/>
    </row>
    <row r="9" spans="2:14" ht="12.75">
      <c r="B9" s="18" t="s">
        <v>10</v>
      </c>
      <c r="C9" s="142">
        <v>1000000</v>
      </c>
      <c r="D9" s="19"/>
      <c r="F9" s="367"/>
      <c r="G9" s="368"/>
      <c r="H9" s="369"/>
      <c r="J9" s="244"/>
      <c r="K9" s="278" t="s">
        <v>30</v>
      </c>
      <c r="L9" s="278"/>
      <c r="M9" s="278"/>
      <c r="N9" s="279"/>
    </row>
    <row r="10" spans="2:14" ht="13.5" thickBot="1">
      <c r="B10" s="18" t="s">
        <v>42</v>
      </c>
      <c r="C10" s="110">
        <v>0.38</v>
      </c>
      <c r="D10" s="19"/>
      <c r="F10" s="326"/>
      <c r="G10" s="327"/>
      <c r="H10" s="328"/>
      <c r="J10" s="245"/>
      <c r="K10" s="304" t="s">
        <v>31</v>
      </c>
      <c r="L10" s="304"/>
      <c r="M10" s="304"/>
      <c r="N10" s="305"/>
    </row>
    <row r="11" spans="2:4" ht="12.75">
      <c r="B11" s="18" t="s">
        <v>11</v>
      </c>
      <c r="C11" s="110">
        <v>0.1</v>
      </c>
      <c r="D11" s="19" t="s">
        <v>12</v>
      </c>
    </row>
    <row r="12" spans="2:4" ht="12.75">
      <c r="B12" s="20" t="s">
        <v>13</v>
      </c>
      <c r="C12" s="120">
        <v>0.15</v>
      </c>
      <c r="D12" s="21"/>
    </row>
    <row r="13" ht="12.75">
      <c r="C13" s="90"/>
    </row>
    <row r="14" spans="2:8" s="2" customFormat="1" ht="18" customHeight="1">
      <c r="B14" s="314" t="s">
        <v>189</v>
      </c>
      <c r="C14" s="315"/>
      <c r="D14" s="315"/>
      <c r="E14" s="315"/>
      <c r="F14" s="315"/>
      <c r="G14" s="315"/>
      <c r="H14" s="316"/>
    </row>
    <row r="15" spans="2:8" ht="12.75">
      <c r="B15" s="18"/>
      <c r="C15" s="365" t="s">
        <v>150</v>
      </c>
      <c r="D15" s="362"/>
      <c r="E15" s="362"/>
      <c r="F15" s="362"/>
      <c r="G15" s="362"/>
      <c r="H15" s="360"/>
    </row>
    <row r="16" spans="2:8" ht="12.75">
      <c r="B16" s="18"/>
      <c r="C16" s="27">
        <v>0</v>
      </c>
      <c r="D16" s="27">
        <v>1</v>
      </c>
      <c r="E16" s="27">
        <v>2</v>
      </c>
      <c r="F16" s="27">
        <v>3</v>
      </c>
      <c r="G16" s="27">
        <v>4</v>
      </c>
      <c r="H16" s="28">
        <v>5</v>
      </c>
    </row>
    <row r="17" spans="2:8" ht="12.75">
      <c r="B17" s="18" t="s">
        <v>14</v>
      </c>
      <c r="C17" s="29"/>
      <c r="D17" s="142">
        <v>1000000</v>
      </c>
      <c r="E17" s="142">
        <v>1500000</v>
      </c>
      <c r="F17" s="142">
        <v>3000000</v>
      </c>
      <c r="G17" s="142">
        <v>3500000</v>
      </c>
      <c r="H17" s="225">
        <v>2000000</v>
      </c>
    </row>
    <row r="18" spans="2:8" ht="12.75">
      <c r="B18" s="18" t="s">
        <v>15</v>
      </c>
      <c r="C18" s="2"/>
      <c r="D18" s="113">
        <v>2</v>
      </c>
      <c r="E18" s="113">
        <v>2</v>
      </c>
      <c r="F18" s="113">
        <v>2.5</v>
      </c>
      <c r="G18" s="113">
        <v>2.5</v>
      </c>
      <c r="H18" s="114">
        <v>2.5</v>
      </c>
    </row>
    <row r="19" spans="2:8" ht="12.75">
      <c r="B19" s="18"/>
      <c r="C19" s="2"/>
      <c r="D19" s="22"/>
      <c r="E19" s="22"/>
      <c r="F19" s="22"/>
      <c r="G19" s="22"/>
      <c r="H19" s="23"/>
    </row>
    <row r="20" spans="2:8" ht="12.75">
      <c r="B20" s="18" t="s">
        <v>16</v>
      </c>
      <c r="C20" s="32"/>
      <c r="D20" s="117">
        <f>D18*D17</f>
        <v>2000000</v>
      </c>
      <c r="E20" s="117">
        <f>E18*E17</f>
        <v>3000000</v>
      </c>
      <c r="F20" s="117">
        <f>F18*F17</f>
        <v>7500000</v>
      </c>
      <c r="G20" s="117">
        <f>G18*G17</f>
        <v>8750000</v>
      </c>
      <c r="H20" s="118">
        <f>H18*H17</f>
        <v>5000000</v>
      </c>
    </row>
    <row r="21" spans="2:8" ht="12.75">
      <c r="B21" s="18" t="s">
        <v>17</v>
      </c>
      <c r="C21" s="32"/>
      <c r="D21" s="192">
        <f>-$C$8*D20</f>
        <v>-900000</v>
      </c>
      <c r="E21" s="192">
        <f>-$C$8*E20</f>
        <v>-1350000</v>
      </c>
      <c r="F21" s="192">
        <f>-$C$8*F20</f>
        <v>-3375000</v>
      </c>
      <c r="G21" s="192">
        <f>-$C$8*G20</f>
        <v>-3937500</v>
      </c>
      <c r="H21" s="296">
        <f>-$C$8*H20</f>
        <v>-2250000</v>
      </c>
    </row>
    <row r="22" spans="2:8" ht="12.75">
      <c r="B22" s="18" t="s">
        <v>18</v>
      </c>
      <c r="C22" s="32"/>
      <c r="D22" s="117">
        <f>-$C$9</f>
        <v>-1000000</v>
      </c>
      <c r="E22" s="117">
        <f>-$C$9</f>
        <v>-1000000</v>
      </c>
      <c r="F22" s="117">
        <f>-$C$9</f>
        <v>-1000000</v>
      </c>
      <c r="G22" s="117">
        <f>-$C$9</f>
        <v>-1000000</v>
      </c>
      <c r="H22" s="118">
        <f>-$C$9</f>
        <v>-1000000</v>
      </c>
    </row>
    <row r="23" spans="2:8" ht="12.75">
      <c r="B23" s="18" t="s">
        <v>81</v>
      </c>
      <c r="C23" s="32"/>
      <c r="D23" s="297">
        <f>$C$5/$C$6</f>
        <v>-800000</v>
      </c>
      <c r="E23" s="297">
        <f>$C$5/$C$6</f>
        <v>-800000</v>
      </c>
      <c r="F23" s="297">
        <f>$C$5/$C$6</f>
        <v>-800000</v>
      </c>
      <c r="G23" s="297">
        <f>$C$5/$C$6</f>
        <v>-800000</v>
      </c>
      <c r="H23" s="298">
        <f>$C$5/$C$6</f>
        <v>-800000</v>
      </c>
    </row>
    <row r="24" spans="2:8" ht="12.75">
      <c r="B24" s="50" t="s">
        <v>19</v>
      </c>
      <c r="C24" s="32"/>
      <c r="D24" s="299">
        <f>D20+D21+D22+D23</f>
        <v>-700000</v>
      </c>
      <c r="E24" s="299">
        <f>E20+E21+E22+E23</f>
        <v>-150000</v>
      </c>
      <c r="F24" s="299">
        <f>F20+F21+F22+F23</f>
        <v>2325000</v>
      </c>
      <c r="G24" s="299">
        <f>G20+G21+G22+G23</f>
        <v>3012500</v>
      </c>
      <c r="H24" s="300">
        <f>H20+H21+H22+H23</f>
        <v>950000</v>
      </c>
    </row>
    <row r="25" spans="2:8" ht="12.75">
      <c r="B25" s="18" t="s">
        <v>137</v>
      </c>
      <c r="C25" s="32"/>
      <c r="D25" s="190">
        <f>-$C$10*D24</f>
        <v>266000</v>
      </c>
      <c r="E25" s="190">
        <f>-$C$10*E24</f>
        <v>57000</v>
      </c>
      <c r="F25" s="190">
        <f>-$C$10*F24</f>
        <v>-883500</v>
      </c>
      <c r="G25" s="190">
        <f>-$C$10*G24</f>
        <v>-1144750</v>
      </c>
      <c r="H25" s="191">
        <f>-$C$10*H24</f>
        <v>-361000</v>
      </c>
    </row>
    <row r="26" spans="2:8" ht="12.75">
      <c r="B26" s="50" t="s">
        <v>85</v>
      </c>
      <c r="C26" s="32"/>
      <c r="D26" s="299">
        <f>D24+D25</f>
        <v>-434000</v>
      </c>
      <c r="E26" s="299">
        <f>E24+E25</f>
        <v>-93000</v>
      </c>
      <c r="F26" s="299">
        <f>F24+F25</f>
        <v>1441500</v>
      </c>
      <c r="G26" s="299">
        <f>G24+G25</f>
        <v>1867750</v>
      </c>
      <c r="H26" s="300">
        <f>H24+H25</f>
        <v>589000</v>
      </c>
    </row>
    <row r="27" spans="2:8" ht="12.75">
      <c r="B27" s="18" t="s">
        <v>163</v>
      </c>
      <c r="C27" s="32"/>
      <c r="D27" s="192">
        <f>-D23</f>
        <v>800000</v>
      </c>
      <c r="E27" s="192">
        <f>-E23</f>
        <v>800000</v>
      </c>
      <c r="F27" s="192">
        <f>-F23</f>
        <v>800000</v>
      </c>
      <c r="G27" s="192">
        <f>-G23</f>
        <v>800000</v>
      </c>
      <c r="H27" s="296">
        <f>-H23</f>
        <v>800000</v>
      </c>
    </row>
    <row r="28" spans="2:8" ht="12.75">
      <c r="B28" s="18" t="s">
        <v>177</v>
      </c>
      <c r="C28" s="117">
        <f>C5</f>
        <v>-4000000</v>
      </c>
      <c r="D28" s="117">
        <v>0</v>
      </c>
      <c r="E28" s="117">
        <v>0</v>
      </c>
      <c r="F28" s="117">
        <v>0</v>
      </c>
      <c r="G28" s="117">
        <v>0</v>
      </c>
      <c r="H28" s="118">
        <f>C7*(1-C10)</f>
        <v>248000</v>
      </c>
    </row>
    <row r="29" spans="2:9" ht="12.75">
      <c r="B29" s="18" t="s">
        <v>145</v>
      </c>
      <c r="C29" s="117">
        <f>-C11*D20</f>
        <v>-200000</v>
      </c>
      <c r="D29" s="117">
        <f>-$C$11*(E20-D20)</f>
        <v>-100000</v>
      </c>
      <c r="E29" s="117">
        <f>-$C$11*(F20-E20)</f>
        <v>-450000</v>
      </c>
      <c r="F29" s="117">
        <f>-$C$11*(G20-F20)</f>
        <v>-125000</v>
      </c>
      <c r="G29" s="117">
        <f>-$C$11*(H20-G20)</f>
        <v>375000</v>
      </c>
      <c r="H29" s="118">
        <f>-$C$11*(I20-H20)</f>
        <v>500000</v>
      </c>
      <c r="I29" s="76"/>
    </row>
    <row r="30" spans="2:8" ht="13.5" thickBot="1">
      <c r="B30" s="122" t="s">
        <v>115</v>
      </c>
      <c r="C30" s="285">
        <f>SUM(C28:C29)</f>
        <v>-4200000</v>
      </c>
      <c r="D30" s="285">
        <f>D26+D27+D28+D29</f>
        <v>266000</v>
      </c>
      <c r="E30" s="285">
        <f>E26+E27+E28+E29</f>
        <v>257000</v>
      </c>
      <c r="F30" s="285">
        <f>F26+F27+F28+F29</f>
        <v>2116500</v>
      </c>
      <c r="G30" s="285">
        <f>G26+G27+G28+G29</f>
        <v>3042750</v>
      </c>
      <c r="H30" s="286">
        <f>H26+H27+H28+H29</f>
        <v>2137000</v>
      </c>
    </row>
    <row r="31" spans="2:8" ht="13.5" thickTop="1">
      <c r="B31" s="98"/>
      <c r="C31" s="39"/>
      <c r="D31" s="39"/>
      <c r="E31" s="39"/>
      <c r="F31" s="39"/>
      <c r="G31" s="39"/>
      <c r="H31" s="61"/>
    </row>
    <row r="32" spans="2:8" ht="12.75">
      <c r="B32" s="60" t="s">
        <v>127</v>
      </c>
      <c r="C32" s="299">
        <f>NPV(C12,D30:H30)+C30</f>
        <v>419435.2476243125</v>
      </c>
      <c r="D32" s="39"/>
      <c r="E32" s="39"/>
      <c r="F32" s="39"/>
      <c r="G32" s="39"/>
      <c r="H32" s="61"/>
    </row>
    <row r="33" spans="2:8" ht="12.75">
      <c r="B33" s="62" t="s">
        <v>128</v>
      </c>
      <c r="C33" s="301">
        <f>IRR(C30:H30)</f>
        <v>0.18012895930007308</v>
      </c>
      <c r="D33" s="63"/>
      <c r="E33" s="63"/>
      <c r="F33" s="63"/>
      <c r="G33" s="63"/>
      <c r="H33" s="64"/>
    </row>
    <row r="34" spans="2:3" ht="12.75">
      <c r="B34" s="59"/>
      <c r="C34" s="97"/>
    </row>
    <row r="35" spans="2:8" ht="12.75">
      <c r="B35" s="288" t="s">
        <v>187</v>
      </c>
      <c r="C35" s="287"/>
      <c r="D35" s="287"/>
      <c r="E35" s="287"/>
      <c r="F35" s="287"/>
      <c r="G35" s="287"/>
      <c r="H35" s="287"/>
    </row>
    <row r="37" spans="2:8" ht="12.75">
      <c r="B37" s="288" t="s">
        <v>188</v>
      </c>
      <c r="C37" s="287"/>
      <c r="D37" s="287"/>
      <c r="E37" s="287"/>
      <c r="F37" s="287"/>
      <c r="G37" s="287"/>
      <c r="H37" s="287"/>
    </row>
  </sheetData>
  <sheetProtection/>
  <mergeCells count="10">
    <mergeCell ref="B2:H2"/>
    <mergeCell ref="B4:D4"/>
    <mergeCell ref="C15:H15"/>
    <mergeCell ref="B14:H14"/>
    <mergeCell ref="F8:H10"/>
    <mergeCell ref="K10:N10"/>
    <mergeCell ref="J4:N4"/>
    <mergeCell ref="K5:N5"/>
    <mergeCell ref="K8:N8"/>
    <mergeCell ref="K9:N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USACKN2</cp:lastModifiedBy>
  <cp:lastPrinted>1997-04-01T15:22:42Z</cp:lastPrinted>
  <dcterms:created xsi:type="dcterms:W3CDTF">2007-08-21T19:30:58Z</dcterms:created>
  <dcterms:modified xsi:type="dcterms:W3CDTF">2010-10-22T19:04:02Z</dcterms:modified>
  <cp:category/>
  <cp:version/>
  <cp:contentType/>
  <cp:contentStatus/>
</cp:coreProperties>
</file>